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3\"/>
    </mc:Choice>
  </mc:AlternateContent>
  <xr:revisionPtr revIDLastSave="0" documentId="13_ncr:1_{F72B333D-ECAF-4805-9D48-260F9F1BF8C3}" xr6:coauthVersionLast="47" xr6:coauthVersionMax="47" xr10:uidLastSave="{00000000-0000-0000-0000-000000000000}"/>
  <bookViews>
    <workbookView xWindow="-120" yWindow="-120" windowWidth="29040" windowHeight="15840" xr2:uid="{12D4BFF4-AD23-48AA-B794-3F97BAF30FBC}"/>
  </bookViews>
  <sheets>
    <sheet name="Journal" sheetId="2" r:id="rId1"/>
    <sheet name="Support for School Cleanu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2" l="1"/>
  <c r="E39" i="2"/>
  <c r="E30" i="2"/>
  <c r="E28" i="2"/>
  <c r="E22" i="2"/>
  <c r="E18" i="2"/>
  <c r="E16" i="2"/>
  <c r="E10" i="2"/>
  <c r="E5" i="2"/>
  <c r="D3" i="2" s="1"/>
  <c r="D4" i="2" s="1"/>
  <c r="W21" i="1"/>
  <c r="W22" i="1"/>
  <c r="W23" i="1"/>
  <c r="W20" i="1"/>
  <c r="W9" i="1"/>
  <c r="W11" i="1"/>
  <c r="W14" i="1"/>
  <c r="W19" i="1"/>
  <c r="W18" i="1"/>
  <c r="W17" i="1"/>
  <c r="W16" i="1"/>
  <c r="W15" i="1"/>
  <c r="W27" i="1"/>
  <c r="W28" i="1"/>
  <c r="W29" i="1"/>
  <c r="W31" i="1"/>
  <c r="W32" i="1"/>
  <c r="W33" i="1"/>
  <c r="W34" i="1"/>
  <c r="W35" i="1"/>
  <c r="W36" i="1"/>
  <c r="W37" i="1"/>
  <c r="W38" i="1"/>
  <c r="W39" i="1"/>
  <c r="U36" i="1"/>
  <c r="U37" i="1"/>
  <c r="U35" i="1"/>
  <c r="U34" i="1"/>
  <c r="U33" i="1"/>
  <c r="U32" i="1"/>
  <c r="U31" i="1"/>
  <c r="U30" i="1"/>
  <c r="W30" i="1" s="1"/>
  <c r="U29" i="1"/>
  <c r="U28" i="1"/>
  <c r="U27" i="1"/>
  <c r="U26" i="1"/>
  <c r="P35" i="1"/>
  <c r="P34" i="1"/>
  <c r="P33" i="1"/>
  <c r="P32" i="1"/>
  <c r="P31" i="1"/>
  <c r="P30" i="1"/>
  <c r="P29" i="1"/>
  <c r="P28" i="1"/>
  <c r="P27" i="1"/>
  <c r="P26" i="1"/>
  <c r="O32" i="1"/>
  <c r="N58" i="1"/>
  <c r="S20" i="1"/>
  <c r="S19" i="1"/>
  <c r="S18" i="1"/>
  <c r="S15" i="1"/>
  <c r="S12" i="1"/>
  <c r="S11" i="1"/>
  <c r="S10" i="1"/>
  <c r="S6" i="1"/>
  <c r="K35" i="1"/>
  <c r="F35" i="1"/>
  <c r="K34" i="1"/>
  <c r="K33" i="1"/>
  <c r="K32" i="1"/>
  <c r="K31" i="1"/>
  <c r="K30" i="1"/>
  <c r="K29" i="1"/>
  <c r="K28" i="1"/>
  <c r="K27" i="1"/>
  <c r="K26" i="1"/>
  <c r="W26" i="1" s="1"/>
  <c r="W6" i="1" s="1"/>
  <c r="F27" i="1"/>
  <c r="F28" i="1"/>
  <c r="F29" i="1"/>
  <c r="F30" i="1"/>
  <c r="F31" i="1"/>
  <c r="F32" i="1"/>
  <c r="F33" i="1"/>
  <c r="F34" i="1"/>
  <c r="T16" i="1"/>
  <c r="O16" i="1"/>
  <c r="O15" i="1"/>
  <c r="O23" i="1"/>
  <c r="I14" i="1"/>
  <c r="D34" i="1"/>
  <c r="C26" i="1"/>
  <c r="F26" i="1" s="1"/>
  <c r="J16" i="1"/>
  <c r="J15" i="1"/>
  <c r="J12" i="1"/>
  <c r="J11" i="1"/>
  <c r="J6" i="1"/>
  <c r="E16" i="1"/>
  <c r="E15" i="1"/>
  <c r="E12" i="1"/>
  <c r="E11" i="1"/>
  <c r="D14" i="1"/>
  <c r="D8" i="1"/>
  <c r="D16" i="1"/>
  <c r="N14" i="1" l="1"/>
  <c r="P14" i="1" s="1"/>
  <c r="N8" i="1"/>
  <c r="P8" i="1" s="1"/>
  <c r="N20" i="1"/>
  <c r="N19" i="1"/>
  <c r="P19" i="1" s="1"/>
  <c r="N18" i="1"/>
  <c r="P18" i="1" s="1"/>
  <c r="N16" i="1"/>
  <c r="P16" i="1" s="1"/>
  <c r="N15" i="1"/>
  <c r="P15" i="1" s="1"/>
  <c r="N12" i="1"/>
  <c r="P12" i="1" s="1"/>
  <c r="N11" i="1"/>
  <c r="N10" i="1"/>
  <c r="P10" i="1" s="1"/>
  <c r="N6" i="1"/>
  <c r="P6" i="1" s="1"/>
  <c r="I12" i="1"/>
  <c r="K14" i="1"/>
  <c r="I8" i="1"/>
  <c r="K8" i="1" s="1"/>
  <c r="I7" i="1"/>
  <c r="K7" i="1" s="1"/>
  <c r="I16" i="1"/>
  <c r="K16" i="1" s="1"/>
  <c r="I10" i="1"/>
  <c r="I6" i="1"/>
  <c r="K6" i="1" s="1"/>
  <c r="I9" i="1"/>
  <c r="K9" i="1" s="1"/>
  <c r="M9" i="1" s="1"/>
  <c r="F8" i="1"/>
  <c r="F16" i="1"/>
  <c r="D15" i="1"/>
  <c r="F15" i="1" s="1"/>
  <c r="D12" i="1"/>
  <c r="F12" i="1" s="1"/>
  <c r="D10" i="1"/>
  <c r="F10" i="1" s="1"/>
  <c r="U23" i="1"/>
  <c r="U22" i="1"/>
  <c r="U21" i="1"/>
  <c r="U20" i="1"/>
  <c r="U19" i="1"/>
  <c r="U18" i="1"/>
  <c r="P20" i="1"/>
  <c r="P21" i="1"/>
  <c r="P22" i="1"/>
  <c r="P23" i="1"/>
  <c r="K18" i="1"/>
  <c r="K19" i="1"/>
  <c r="K20" i="1"/>
  <c r="K21" i="1"/>
  <c r="K22" i="1"/>
  <c r="K23" i="1"/>
  <c r="F18" i="1"/>
  <c r="F19" i="1"/>
  <c r="F20" i="1"/>
  <c r="F21" i="1"/>
  <c r="F22" i="1"/>
  <c r="F23" i="1"/>
  <c r="P13" i="1"/>
  <c r="U17" i="1"/>
  <c r="U16" i="1"/>
  <c r="U15" i="1"/>
  <c r="U14" i="1"/>
  <c r="U13" i="1"/>
  <c r="U12" i="1"/>
  <c r="U11" i="1"/>
  <c r="U10" i="1"/>
  <c r="U9" i="1"/>
  <c r="U8" i="1"/>
  <c r="U7" i="1"/>
  <c r="U6" i="1"/>
  <c r="P17" i="1"/>
  <c r="P11" i="1"/>
  <c r="P9" i="1"/>
  <c r="P7" i="1"/>
  <c r="K17" i="1"/>
  <c r="K15" i="1"/>
  <c r="K13" i="1"/>
  <c r="K12" i="1"/>
  <c r="K11" i="1"/>
  <c r="K10" i="1"/>
  <c r="F17" i="1"/>
  <c r="F7" i="1"/>
  <c r="F9" i="1"/>
  <c r="F11" i="1"/>
  <c r="F13" i="1"/>
  <c r="F14" i="1"/>
  <c r="F6" i="1"/>
</calcChain>
</file>

<file path=xl/sharedStrings.xml><?xml version="1.0" encoding="utf-8"?>
<sst xmlns="http://schemas.openxmlformats.org/spreadsheetml/2006/main" count="172" uniqueCount="74">
  <si>
    <t>281006</t>
  </si>
  <si>
    <t>FED:  TITLE IV</t>
  </si>
  <si>
    <t>281013</t>
  </si>
  <si>
    <t>STGRANT:SPED LEARNING TOGETHER</t>
  </si>
  <si>
    <t>281014</t>
  </si>
  <si>
    <t>ST: SPED PROG -ASSIST/ IMPROVEMENT</t>
  </si>
  <si>
    <t>281015</t>
  </si>
  <si>
    <t>FED-FEMA</t>
  </si>
  <si>
    <t>281016</t>
  </si>
  <si>
    <t>TEACHER QUALITY FY03</t>
  </si>
  <si>
    <t>281017</t>
  </si>
  <si>
    <t>FED-TEACHER QUALITY- TITLE 11</t>
  </si>
  <si>
    <t>281019</t>
  </si>
  <si>
    <t>FED-TITLE 1 DISTRIBUTION</t>
  </si>
  <si>
    <t>281022</t>
  </si>
  <si>
    <t>FED-TITLE II DISTRIBUTION</t>
  </si>
  <si>
    <t>281024</t>
  </si>
  <si>
    <t>FED-SPED PROG. IMPROVEMENT</t>
  </si>
  <si>
    <t>281025</t>
  </si>
  <si>
    <t>FED-EARLY CHILDHOOD -ECO/ IMPROV</t>
  </si>
  <si>
    <t>281026</t>
  </si>
  <si>
    <t>FED-OMNIBUS - SPED IDEA</t>
  </si>
  <si>
    <t>281028</t>
  </si>
  <si>
    <t>FED SPED 298 EARLY CHILDHOOD</t>
  </si>
  <si>
    <t>Beg Bal</t>
  </si>
  <si>
    <t>Rev</t>
  </si>
  <si>
    <t>Exp</t>
  </si>
  <si>
    <t>End Bal</t>
  </si>
  <si>
    <t>FY20</t>
  </si>
  <si>
    <t>FY21</t>
  </si>
  <si>
    <t>FY22</t>
  </si>
  <si>
    <t>FY23</t>
  </si>
  <si>
    <t>281029</t>
  </si>
  <si>
    <t>SCH ESSER II FY22</t>
  </si>
  <si>
    <t>281030</t>
  </si>
  <si>
    <t>CARES ESSER III</t>
  </si>
  <si>
    <t>281031</t>
  </si>
  <si>
    <t>SPED 252 ARP IDEA</t>
  </si>
  <si>
    <t>281032</t>
  </si>
  <si>
    <t>SPED 264 EC/ARP IDEA</t>
  </si>
  <si>
    <t>281033</t>
  </si>
  <si>
    <t>FEDERAL ARPA GRANT</t>
  </si>
  <si>
    <t>281034</t>
  </si>
  <si>
    <t>ARPA DIRECT AID</t>
  </si>
  <si>
    <t>Total FY20 fix</t>
  </si>
  <si>
    <t>Total FY21 fix</t>
  </si>
  <si>
    <t>Total FY22 fix</t>
  </si>
  <si>
    <t>Total FY23 fix</t>
  </si>
  <si>
    <t>ALL Years</t>
  </si>
  <si>
    <t>Adjusted Bal</t>
  </si>
  <si>
    <t>28-300-3590-281006-5106</t>
  </si>
  <si>
    <t>CR</t>
  </si>
  <si>
    <t>DR</t>
  </si>
  <si>
    <t>28-300-3590-281017-5035</t>
  </si>
  <si>
    <t>28-300-3590-281022-5030</t>
  </si>
  <si>
    <t>28-300-3590-281014-5048</t>
  </si>
  <si>
    <t>28-300-3590-281024-5027</t>
  </si>
  <si>
    <t>28-300-3590-281026-5024</t>
  </si>
  <si>
    <t>28-300-3590-281016-5042</t>
  </si>
  <si>
    <t>To correct Fund Balance for FY20 revenues that hit wrong program</t>
  </si>
  <si>
    <t>Correcting Entries</t>
  </si>
  <si>
    <t>28-300-3590-281013-5049</t>
  </si>
  <si>
    <t>28-300-3590-281028-0000</t>
  </si>
  <si>
    <t>UFB - FED SPED 298 EARLY CHILDHOOD</t>
  </si>
  <si>
    <t>28-300-3590-281025-5026</t>
  </si>
  <si>
    <t>To correct Fund Balance for FY21 revenues that hit wrong program</t>
  </si>
  <si>
    <t>To correct Fund Balance for FY22 revenues that hit wrong program</t>
  </si>
  <si>
    <t>UFB-SCH ESSER II FY22</t>
  </si>
  <si>
    <t>UFB - CARES ESSER III</t>
  </si>
  <si>
    <t>28-300-4580-281016-5042</t>
  </si>
  <si>
    <t>28-300-4580-281017-5035</t>
  </si>
  <si>
    <t>28-300-4580-281029-0000</t>
  </si>
  <si>
    <t>28-300-4580-281030-0000</t>
  </si>
  <si>
    <t>To reclass revenues that hit wrong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</si>
</sst>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43" fontId="0" fillId="2" borderId="0" xfId="1" applyFont="1" applyFill="1"/>
    <xf numFmtId="43" fontId="0" fillId="3" borderId="2" xfId="1" applyFont="1" applyFill="1" applyBorder="1"/>
    <xf numFmtId="43" fontId="0" fillId="3" borderId="3" xfId="1" applyFont="1" applyFill="1" applyBorder="1"/>
    <xf numFmtId="43" fontId="0" fillId="0" borderId="0" xfId="1" quotePrefix="1" applyFont="1"/>
    <xf numFmtId="43" fontId="2" fillId="3" borderId="3" xfId="1" applyFont="1" applyFill="1" applyBorder="1"/>
    <xf numFmtId="43" fontId="0" fillId="4" borderId="3" xfId="1" applyFont="1" applyFill="1" applyBorder="1"/>
    <xf numFmtId="43" fontId="0" fillId="5" borderId="1" xfId="1" applyFont="1" applyFill="1" applyBorder="1"/>
    <xf numFmtId="43" fontId="0" fillId="0" borderId="0" xfId="0" applyNumberFormat="1"/>
    <xf numFmtId="43" fontId="2" fillId="3" borderId="2" xfId="1" applyFont="1" applyFill="1" applyBorder="1"/>
    <xf numFmtId="43" fontId="4" fillId="6" borderId="1" xfId="1" applyFont="1" applyFill="1" applyBorder="1"/>
    <xf numFmtId="43" fontId="3" fillId="0" borderId="0" xfId="1" applyFont="1"/>
    <xf numFmtId="43" fontId="3" fillId="0" borderId="0" xfId="0" applyNumberFormat="1" applyFont="1"/>
    <xf numFmtId="0" fontId="3" fillId="0" borderId="0" xfId="0" applyFont="1"/>
    <xf numFmtId="43" fontId="0" fillId="0" borderId="0" xfId="1" applyFont="1" applyFill="1"/>
    <xf numFmtId="43" fontId="0" fillId="4" borderId="2" xfId="1" applyFont="1" applyFill="1" applyBorder="1"/>
    <xf numFmtId="43" fontId="0" fillId="7" borderId="1" xfId="1" applyFont="1" applyFill="1" applyBorder="1"/>
    <xf numFmtId="43" fontId="0" fillId="0" borderId="3" xfId="1" applyFont="1" applyBorder="1"/>
    <xf numFmtId="0" fontId="6" fillId="0" borderId="4" xfId="2" applyFont="1" applyBorder="1" applyAlignment="1">
      <alignment wrapText="1"/>
    </xf>
  </cellXfs>
  <cellStyles count="3">
    <cellStyle name="Comma" xfId="1" builtinId="3"/>
    <cellStyle name="Normal" xfId="0" builtinId="0"/>
    <cellStyle name="Normal_Sheet1" xfId="2" xr:uid="{146A8B2E-3ABE-4A15-827A-93BE30883A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533105</xdr:colOff>
      <xdr:row>13</xdr:row>
      <xdr:rowOff>28262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55C40F-E185-B693-3B4D-0F43DEBEC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0"/>
          <a:ext cx="2361905" cy="2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E3F7D-580E-461F-BD0D-FB41CD109AD2}">
  <dimension ref="A1:E43"/>
  <sheetViews>
    <sheetView tabSelected="1" workbookViewId="0">
      <selection activeCell="N25" sqref="N25"/>
    </sheetView>
  </sheetViews>
  <sheetFormatPr defaultRowHeight="15" x14ac:dyDescent="0.25"/>
  <cols>
    <col min="2" max="2" width="23.28515625" bestFit="1" customWidth="1"/>
    <col min="3" max="3" width="36.42578125" bestFit="1" customWidth="1"/>
    <col min="4" max="5" width="10.5703125" style="1" bestFit="1" customWidth="1"/>
  </cols>
  <sheetData>
    <row r="1" spans="1:5" x14ac:dyDescent="0.25">
      <c r="A1" s="15" t="s">
        <v>60</v>
      </c>
    </row>
    <row r="3" spans="1:5" x14ac:dyDescent="0.25">
      <c r="A3" t="s">
        <v>52</v>
      </c>
      <c r="B3" t="s">
        <v>53</v>
      </c>
      <c r="C3" t="s">
        <v>11</v>
      </c>
      <c r="D3" s="1">
        <f>+E5/2</f>
        <v>566.75</v>
      </c>
    </row>
    <row r="4" spans="1:5" x14ac:dyDescent="0.25">
      <c r="A4" t="s">
        <v>52</v>
      </c>
      <c r="B4" t="s">
        <v>54</v>
      </c>
      <c r="C4" t="s">
        <v>15</v>
      </c>
      <c r="D4" s="1">
        <f>+D3</f>
        <v>566.75</v>
      </c>
    </row>
    <row r="5" spans="1:5" x14ac:dyDescent="0.25">
      <c r="A5" t="s">
        <v>51</v>
      </c>
      <c r="B5" t="s">
        <v>50</v>
      </c>
      <c r="C5" t="s">
        <v>1</v>
      </c>
      <c r="E5" s="1">
        <f>566.75*2</f>
        <v>1133.5</v>
      </c>
    </row>
    <row r="6" spans="1:5" x14ac:dyDescent="0.25">
      <c r="A6" t="s">
        <v>52</v>
      </c>
      <c r="B6" t="s">
        <v>55</v>
      </c>
      <c r="C6" t="s">
        <v>5</v>
      </c>
      <c r="D6" s="1">
        <v>15177</v>
      </c>
    </row>
    <row r="7" spans="1:5" x14ac:dyDescent="0.25">
      <c r="A7" t="s">
        <v>52</v>
      </c>
      <c r="B7" t="s">
        <v>56</v>
      </c>
      <c r="C7" t="s">
        <v>17</v>
      </c>
      <c r="D7" s="1">
        <v>74515</v>
      </c>
    </row>
    <row r="8" spans="1:5" x14ac:dyDescent="0.25">
      <c r="A8" t="s">
        <v>51</v>
      </c>
      <c r="B8" t="s">
        <v>57</v>
      </c>
      <c r="C8" t="s">
        <v>21</v>
      </c>
      <c r="E8" s="1">
        <v>89692</v>
      </c>
    </row>
    <row r="9" spans="1:5" x14ac:dyDescent="0.25">
      <c r="A9" t="s">
        <v>52</v>
      </c>
      <c r="B9" t="s">
        <v>58</v>
      </c>
      <c r="C9" t="s">
        <v>9</v>
      </c>
      <c r="D9" s="1">
        <v>6858</v>
      </c>
    </row>
    <row r="10" spans="1:5" x14ac:dyDescent="0.25">
      <c r="A10" t="s">
        <v>51</v>
      </c>
      <c r="B10" t="s">
        <v>53</v>
      </c>
      <c r="C10" t="s">
        <v>11</v>
      </c>
      <c r="E10" s="1">
        <f>+D9</f>
        <v>6858</v>
      </c>
    </row>
    <row r="12" spans="1:5" x14ac:dyDescent="0.25">
      <c r="B12" t="s">
        <v>59</v>
      </c>
    </row>
    <row r="15" spans="1:5" x14ac:dyDescent="0.25">
      <c r="A15" t="s">
        <v>52</v>
      </c>
      <c r="B15" t="s">
        <v>61</v>
      </c>
      <c r="C15" t="s">
        <v>3</v>
      </c>
      <c r="D15" s="1">
        <v>1226</v>
      </c>
    </row>
    <row r="16" spans="1:5" x14ac:dyDescent="0.25">
      <c r="A16" t="s">
        <v>51</v>
      </c>
      <c r="B16" t="s">
        <v>62</v>
      </c>
      <c r="C16" t="s">
        <v>63</v>
      </c>
      <c r="E16" s="1">
        <f>+D15</f>
        <v>1226</v>
      </c>
    </row>
    <row r="17" spans="1:5" x14ac:dyDescent="0.25">
      <c r="A17" t="s">
        <v>52</v>
      </c>
      <c r="B17" t="s">
        <v>58</v>
      </c>
      <c r="C17" t="s">
        <v>9</v>
      </c>
      <c r="D17" s="1">
        <v>3550</v>
      </c>
    </row>
    <row r="18" spans="1:5" x14ac:dyDescent="0.25">
      <c r="A18" t="s">
        <v>51</v>
      </c>
      <c r="B18" t="s">
        <v>53</v>
      </c>
      <c r="C18" t="s">
        <v>11</v>
      </c>
      <c r="E18" s="1">
        <f>+D17</f>
        <v>3550</v>
      </c>
    </row>
    <row r="19" spans="1:5" x14ac:dyDescent="0.25">
      <c r="A19" t="s">
        <v>52</v>
      </c>
      <c r="B19" t="s">
        <v>55</v>
      </c>
      <c r="C19" t="s">
        <v>5</v>
      </c>
      <c r="D19" s="1">
        <v>20626</v>
      </c>
    </row>
    <row r="20" spans="1:5" x14ac:dyDescent="0.25">
      <c r="A20" t="s">
        <v>51</v>
      </c>
      <c r="B20" t="s">
        <v>64</v>
      </c>
      <c r="C20" t="s">
        <v>19</v>
      </c>
      <c r="E20" s="1">
        <v>20626</v>
      </c>
    </row>
    <row r="21" spans="1:5" x14ac:dyDescent="0.25">
      <c r="A21" t="s">
        <v>52</v>
      </c>
      <c r="B21" t="s">
        <v>56</v>
      </c>
      <c r="C21" t="s">
        <v>17</v>
      </c>
      <c r="D21" s="1">
        <v>47170</v>
      </c>
    </row>
    <row r="22" spans="1:5" x14ac:dyDescent="0.25">
      <c r="A22" t="s">
        <v>51</v>
      </c>
      <c r="B22" t="s">
        <v>57</v>
      </c>
      <c r="C22" t="s">
        <v>21</v>
      </c>
      <c r="E22" s="1">
        <f>+D21</f>
        <v>47170</v>
      </c>
    </row>
    <row r="24" spans="1:5" x14ac:dyDescent="0.25">
      <c r="B24" t="s">
        <v>65</v>
      </c>
    </row>
    <row r="27" spans="1:5" x14ac:dyDescent="0.25">
      <c r="A27" t="s">
        <v>52</v>
      </c>
      <c r="B27" t="s">
        <v>58</v>
      </c>
      <c r="C27" t="s">
        <v>9</v>
      </c>
      <c r="D27" s="1">
        <v>4298</v>
      </c>
    </row>
    <row r="28" spans="1:5" x14ac:dyDescent="0.25">
      <c r="A28" t="s">
        <v>51</v>
      </c>
      <c r="B28" t="s">
        <v>53</v>
      </c>
      <c r="C28" t="s">
        <v>11</v>
      </c>
      <c r="E28" s="1">
        <f>+D27</f>
        <v>4298</v>
      </c>
    </row>
    <row r="29" spans="1:5" x14ac:dyDescent="0.25">
      <c r="A29" t="s">
        <v>52</v>
      </c>
      <c r="B29" t="s">
        <v>55</v>
      </c>
      <c r="C29" t="s">
        <v>5</v>
      </c>
      <c r="D29" s="1">
        <v>2849</v>
      </c>
    </row>
    <row r="30" spans="1:5" x14ac:dyDescent="0.25">
      <c r="A30" t="s">
        <v>51</v>
      </c>
      <c r="B30" t="s">
        <v>64</v>
      </c>
      <c r="C30" t="s">
        <v>19</v>
      </c>
      <c r="E30" s="1">
        <f>+D29</f>
        <v>2849</v>
      </c>
    </row>
    <row r="31" spans="1:5" x14ac:dyDescent="0.25">
      <c r="A31" t="s">
        <v>52</v>
      </c>
      <c r="B31" t="s">
        <v>56</v>
      </c>
      <c r="C31" t="s">
        <v>17</v>
      </c>
      <c r="D31" s="1">
        <v>59967</v>
      </c>
    </row>
    <row r="32" spans="1:5" x14ac:dyDescent="0.25">
      <c r="A32" t="s">
        <v>51</v>
      </c>
      <c r="B32" t="s">
        <v>64</v>
      </c>
      <c r="C32" t="s">
        <v>19</v>
      </c>
      <c r="E32" s="1">
        <v>2232</v>
      </c>
    </row>
    <row r="33" spans="1:5" x14ac:dyDescent="0.25">
      <c r="A33" t="s">
        <v>51</v>
      </c>
      <c r="B33" t="s">
        <v>57</v>
      </c>
      <c r="C33" t="s">
        <v>21</v>
      </c>
      <c r="E33" s="1">
        <v>57735</v>
      </c>
    </row>
    <row r="35" spans="1:5" x14ac:dyDescent="0.25">
      <c r="B35" t="s">
        <v>66</v>
      </c>
    </row>
    <row r="38" spans="1:5" x14ac:dyDescent="0.25">
      <c r="A38" t="s">
        <v>52</v>
      </c>
      <c r="B38" t="s">
        <v>69</v>
      </c>
      <c r="C38" t="s">
        <v>9</v>
      </c>
      <c r="D38" s="1">
        <v>4097</v>
      </c>
    </row>
    <row r="39" spans="1:5" x14ac:dyDescent="0.25">
      <c r="A39" t="s">
        <v>51</v>
      </c>
      <c r="B39" t="s">
        <v>70</v>
      </c>
      <c r="C39" t="s">
        <v>11</v>
      </c>
      <c r="E39" s="1">
        <f>+D38</f>
        <v>4097</v>
      </c>
    </row>
    <row r="40" spans="1:5" x14ac:dyDescent="0.25">
      <c r="A40" t="s">
        <v>52</v>
      </c>
      <c r="B40" s="20" t="s">
        <v>71</v>
      </c>
      <c r="C40" s="20" t="s">
        <v>67</v>
      </c>
      <c r="D40" s="1">
        <v>26355</v>
      </c>
    </row>
    <row r="41" spans="1:5" x14ac:dyDescent="0.25">
      <c r="A41" t="s">
        <v>51</v>
      </c>
      <c r="B41" s="20" t="s">
        <v>72</v>
      </c>
      <c r="C41" s="20" t="s">
        <v>68</v>
      </c>
      <c r="E41" s="1">
        <f>+D40</f>
        <v>26355</v>
      </c>
    </row>
    <row r="43" spans="1:5" x14ac:dyDescent="0.25">
      <c r="B43" t="s">
        <v>73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D4BA-5C07-43DB-AD17-B05E569B81DD}">
  <dimension ref="A4:AN58"/>
  <sheetViews>
    <sheetView topLeftCell="S1" zoomScale="120" zoomScaleNormal="120" workbookViewId="0">
      <selection activeCell="W12" sqref="W12"/>
    </sheetView>
  </sheetViews>
  <sheetFormatPr defaultRowHeight="15" outlineLevelCol="1" x14ac:dyDescent="0.25"/>
  <cols>
    <col min="2" max="2" width="41.140625" bestFit="1" customWidth="1"/>
    <col min="3" max="3" width="10.42578125" customWidth="1" outlineLevel="1"/>
    <col min="4" max="4" width="11.5703125" customWidth="1" outlineLevel="1"/>
    <col min="5" max="5" width="12.28515625" customWidth="1" outlineLevel="1"/>
    <col min="6" max="6" width="14.28515625" customWidth="1" outlineLevel="1"/>
    <col min="7" max="7" width="1.7109375" style="1" customWidth="1" outlineLevel="1"/>
    <col min="8" max="8" width="11.42578125" customWidth="1" outlineLevel="1"/>
    <col min="9" max="9" width="11.5703125" customWidth="1" outlineLevel="1"/>
    <col min="10" max="10" width="12.28515625" customWidth="1" outlineLevel="1"/>
    <col min="11" max="11" width="14.28515625" customWidth="1" outlineLevel="1"/>
    <col min="12" max="12" width="4.140625" customWidth="1" outlineLevel="1"/>
    <col min="13" max="13" width="11.7109375" customWidth="1" outlineLevel="1"/>
    <col min="14" max="14" width="11.5703125" customWidth="1" outlineLevel="1"/>
    <col min="15" max="16" width="12.28515625" customWidth="1" outlineLevel="1"/>
    <col min="17" max="17" width="2.28515625" customWidth="1" outlineLevel="1"/>
    <col min="18" max="18" width="12.42578125" customWidth="1" outlineLevel="1"/>
    <col min="19" max="19" width="11.5703125" customWidth="1" outlineLevel="1"/>
    <col min="20" max="20" width="12.28515625" customWidth="1" outlineLevel="1"/>
    <col min="21" max="21" width="12.42578125" customWidth="1" outlineLevel="1"/>
    <col min="23" max="23" width="12.28515625" bestFit="1" customWidth="1"/>
    <col min="24" max="24" width="9.5703125" bestFit="1" customWidth="1"/>
    <col min="25" max="26" width="11.5703125" bestFit="1" customWidth="1"/>
    <col min="27" max="27" width="9.5703125" bestFit="1" customWidth="1"/>
  </cols>
  <sheetData>
    <row r="4" spans="1:40" x14ac:dyDescent="0.25">
      <c r="C4" s="2" t="s">
        <v>28</v>
      </c>
      <c r="D4" s="2"/>
      <c r="E4" s="2"/>
      <c r="F4" s="2"/>
      <c r="H4" s="2" t="s">
        <v>29</v>
      </c>
      <c r="I4" s="2"/>
      <c r="J4" s="2"/>
      <c r="K4" s="2"/>
      <c r="M4" s="2" t="s">
        <v>30</v>
      </c>
      <c r="N4" s="2"/>
      <c r="O4" s="2"/>
      <c r="P4" s="2"/>
      <c r="R4" s="2" t="s">
        <v>31</v>
      </c>
      <c r="S4" s="2"/>
      <c r="T4" s="2"/>
      <c r="U4" s="2"/>
    </row>
    <row r="5" spans="1:40" x14ac:dyDescent="0.25">
      <c r="C5" t="s">
        <v>24</v>
      </c>
      <c r="D5" t="s">
        <v>25</v>
      </c>
      <c r="E5" t="s">
        <v>26</v>
      </c>
      <c r="F5" t="s">
        <v>27</v>
      </c>
      <c r="H5" t="s">
        <v>24</v>
      </c>
      <c r="I5" t="s">
        <v>25</v>
      </c>
      <c r="J5" t="s">
        <v>26</v>
      </c>
      <c r="K5" t="s">
        <v>27</v>
      </c>
      <c r="M5" t="s">
        <v>24</v>
      </c>
      <c r="N5" t="s">
        <v>25</v>
      </c>
      <c r="O5" t="s">
        <v>26</v>
      </c>
      <c r="P5" t="s">
        <v>27</v>
      </c>
      <c r="R5" t="s">
        <v>24</v>
      </c>
      <c r="S5" t="s">
        <v>25</v>
      </c>
      <c r="T5" t="s">
        <v>26</v>
      </c>
      <c r="U5" t="s">
        <v>27</v>
      </c>
      <c r="W5" t="s">
        <v>49</v>
      </c>
    </row>
    <row r="6" spans="1:40" ht="15.75" thickBot="1" x14ac:dyDescent="0.3">
      <c r="A6" t="s">
        <v>0</v>
      </c>
      <c r="B6" t="s">
        <v>1</v>
      </c>
      <c r="C6" s="1">
        <v>-1008</v>
      </c>
      <c r="D6" s="3">
        <v>3750</v>
      </c>
      <c r="E6" s="1">
        <v>-3750</v>
      </c>
      <c r="F6" s="1">
        <f>SUM(C6:E6)</f>
        <v>-1008</v>
      </c>
      <c r="H6" s="1">
        <v>-1008</v>
      </c>
      <c r="I6" s="3">
        <f>1000+4250+2000+300</f>
        <v>7550</v>
      </c>
      <c r="J6" s="1">
        <f>-4250-3244.09</f>
        <v>-7494.09</v>
      </c>
      <c r="K6" s="1">
        <f>SUM(H6:J6)</f>
        <v>-952.09000000000015</v>
      </c>
      <c r="L6" s="1"/>
      <c r="M6" s="1">
        <v>-952.09</v>
      </c>
      <c r="N6" s="3">
        <f>1000+5873+1900+9927</f>
        <v>18700</v>
      </c>
      <c r="O6" s="1">
        <v>-18755.91</v>
      </c>
      <c r="P6" s="1">
        <f>SUM(M6:O6)</f>
        <v>-1008</v>
      </c>
      <c r="Q6" s="1"/>
      <c r="R6" s="1">
        <v>-1008</v>
      </c>
      <c r="S6" s="3">
        <f>1000+4100+4900</f>
        <v>10000</v>
      </c>
      <c r="T6" s="1">
        <v>-6250</v>
      </c>
      <c r="U6" s="1">
        <f>SUM(R6:T6)</f>
        <v>2742</v>
      </c>
      <c r="V6" s="1"/>
      <c r="W6" s="1">
        <f>+U6+W26</f>
        <v>3875.5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15.75" thickBot="1" x14ac:dyDescent="0.3">
      <c r="A7" t="s">
        <v>2</v>
      </c>
      <c r="B7" t="s">
        <v>3</v>
      </c>
      <c r="C7" s="1"/>
      <c r="D7" s="1"/>
      <c r="E7" s="1"/>
      <c r="F7" s="1">
        <f t="shared" ref="F7:F16" si="0">SUM(C7:E7)</f>
        <v>0</v>
      </c>
      <c r="H7" s="1"/>
      <c r="I7" s="9">
        <f>122+271+630+203</f>
        <v>1226</v>
      </c>
      <c r="J7" s="1"/>
      <c r="K7" s="1">
        <f t="shared" ref="K7:K16" si="1">SUM(H7:J7)</f>
        <v>1226</v>
      </c>
      <c r="L7" s="1"/>
      <c r="M7" s="1">
        <v>1226</v>
      </c>
      <c r="N7" s="1"/>
      <c r="O7" s="1"/>
      <c r="P7" s="1">
        <f t="shared" ref="P7:P16" si="2">SUM(M7:O7)</f>
        <v>1226</v>
      </c>
      <c r="Q7" s="1"/>
      <c r="R7" s="1">
        <v>1226</v>
      </c>
      <c r="S7" s="1"/>
      <c r="T7" s="1"/>
      <c r="U7" s="1">
        <f t="shared" ref="U7:U16" si="3">SUM(R7:T7)</f>
        <v>1226</v>
      </c>
      <c r="V7" s="1"/>
      <c r="W7" s="1">
        <v>0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.75" thickBot="1" x14ac:dyDescent="0.3">
      <c r="A8" t="s">
        <v>4</v>
      </c>
      <c r="B8" t="s">
        <v>5</v>
      </c>
      <c r="C8" s="1">
        <v>0</v>
      </c>
      <c r="D8" s="12">
        <f>12742+2435</f>
        <v>15177</v>
      </c>
      <c r="E8" s="1"/>
      <c r="F8" s="1">
        <f t="shared" si="0"/>
        <v>15177</v>
      </c>
      <c r="H8" s="1">
        <v>15177</v>
      </c>
      <c r="I8" s="8">
        <f>3125+4514+849+2725+1767+3789+1767+2090</f>
        <v>20626</v>
      </c>
      <c r="J8" s="1"/>
      <c r="K8" s="1">
        <f t="shared" si="1"/>
        <v>35803</v>
      </c>
      <c r="L8" s="1"/>
      <c r="M8" s="1">
        <v>35803</v>
      </c>
      <c r="N8" s="8">
        <f>1997+852</f>
        <v>2849</v>
      </c>
      <c r="O8" s="1"/>
      <c r="P8" s="1">
        <f t="shared" si="2"/>
        <v>38652</v>
      </c>
      <c r="Q8" s="1"/>
      <c r="R8" s="1">
        <v>38652</v>
      </c>
      <c r="S8" s="1"/>
      <c r="T8" s="1"/>
      <c r="U8" s="1">
        <f t="shared" si="3"/>
        <v>38652</v>
      </c>
      <c r="V8" s="1"/>
      <c r="W8" s="1">
        <v>0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.75" thickBot="1" x14ac:dyDescent="0.3">
      <c r="A9" t="s">
        <v>6</v>
      </c>
      <c r="B9" t="s">
        <v>7</v>
      </c>
      <c r="C9" s="1"/>
      <c r="D9" s="1"/>
      <c r="E9" s="1"/>
      <c r="F9" s="1">
        <f t="shared" si="0"/>
        <v>0</v>
      </c>
      <c r="H9" s="1"/>
      <c r="I9" s="1">
        <f>19180.3+44195.42</f>
        <v>63375.72</v>
      </c>
      <c r="J9" s="1"/>
      <c r="K9" s="1">
        <f t="shared" si="1"/>
        <v>63375.72</v>
      </c>
      <c r="L9" s="1"/>
      <c r="M9" s="1">
        <f>+K9</f>
        <v>63375.72</v>
      </c>
      <c r="N9" s="1"/>
      <c r="O9" s="1"/>
      <c r="P9" s="1">
        <f t="shared" si="2"/>
        <v>63375.72</v>
      </c>
      <c r="Q9" s="1"/>
      <c r="R9" s="1">
        <v>63375.72</v>
      </c>
      <c r="S9" s="1"/>
      <c r="T9" s="1"/>
      <c r="U9" s="1">
        <f t="shared" si="3"/>
        <v>63375.72</v>
      </c>
      <c r="V9" s="1"/>
      <c r="W9" s="1">
        <f>+U9</f>
        <v>63375.72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25">
      <c r="A10" t="s">
        <v>8</v>
      </c>
      <c r="B10" t="s">
        <v>9</v>
      </c>
      <c r="C10" s="1">
        <v>0</v>
      </c>
      <c r="D10" s="4">
        <f>695+3954+2209</f>
        <v>6858</v>
      </c>
      <c r="E10" s="1"/>
      <c r="F10" s="1">
        <f t="shared" si="0"/>
        <v>6858</v>
      </c>
      <c r="H10" s="1">
        <v>6858</v>
      </c>
      <c r="I10" s="4">
        <f>1141+100+1559+750</f>
        <v>3550</v>
      </c>
      <c r="J10" s="1"/>
      <c r="K10" s="1">
        <f t="shared" si="1"/>
        <v>10408</v>
      </c>
      <c r="M10" s="1">
        <v>10408</v>
      </c>
      <c r="N10" s="4">
        <f>3691+607</f>
        <v>4298</v>
      </c>
      <c r="O10" s="1"/>
      <c r="P10" s="1">
        <f t="shared" si="2"/>
        <v>14706</v>
      </c>
      <c r="Q10" s="1"/>
      <c r="R10" s="1">
        <v>14706</v>
      </c>
      <c r="S10" s="4">
        <f>3113+984</f>
        <v>4097</v>
      </c>
      <c r="T10" s="1"/>
      <c r="U10" s="1">
        <f t="shared" si="3"/>
        <v>18803</v>
      </c>
      <c r="V10" s="1"/>
      <c r="W10" s="1">
        <v>0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5.75" thickBot="1" x14ac:dyDescent="0.3">
      <c r="A11" t="s">
        <v>10</v>
      </c>
      <c r="B11" t="s">
        <v>11</v>
      </c>
      <c r="C11" s="1">
        <v>3.24</v>
      </c>
      <c r="D11" s="7">
        <v>566.75</v>
      </c>
      <c r="E11" s="1">
        <f>-5534-1424</f>
        <v>-6958</v>
      </c>
      <c r="F11" s="1">
        <f t="shared" si="0"/>
        <v>-6388.01</v>
      </c>
      <c r="H11" s="1">
        <v>-6388.01</v>
      </c>
      <c r="I11" s="5"/>
      <c r="J11" s="1">
        <f>-3267-3874</f>
        <v>-7141</v>
      </c>
      <c r="K11" s="1">
        <f t="shared" si="1"/>
        <v>-13529.01</v>
      </c>
      <c r="L11" s="1"/>
      <c r="M11" s="1">
        <v>-13529.01</v>
      </c>
      <c r="N11" s="5">
        <f>2393+3077</f>
        <v>5470</v>
      </c>
      <c r="O11" s="1">
        <v>-6077</v>
      </c>
      <c r="P11" s="1">
        <f t="shared" si="2"/>
        <v>-14136.01</v>
      </c>
      <c r="Q11" s="1"/>
      <c r="R11" s="1">
        <v>-14136.01</v>
      </c>
      <c r="S11" s="5">
        <f>721+2400</f>
        <v>3121</v>
      </c>
      <c r="T11" s="1">
        <v>-7517.5</v>
      </c>
      <c r="U11" s="1">
        <f t="shared" si="3"/>
        <v>-18532.510000000002</v>
      </c>
      <c r="V11" s="1"/>
      <c r="W11" s="1">
        <f>+U11+18236.25</f>
        <v>-296.26000000000204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ht="15.75" thickBot="1" x14ac:dyDescent="0.3">
      <c r="A12" t="s">
        <v>12</v>
      </c>
      <c r="B12" t="s">
        <v>13</v>
      </c>
      <c r="C12" s="1">
        <v>0.05</v>
      </c>
      <c r="D12" s="3">
        <f>1288+2962+4203+1741</f>
        <v>10194</v>
      </c>
      <c r="E12" s="1">
        <f>-8933.75-170.39</f>
        <v>-9104.14</v>
      </c>
      <c r="F12" s="16">
        <f t="shared" si="0"/>
        <v>1089.9099999999999</v>
      </c>
      <c r="G12" s="16"/>
      <c r="H12" s="16">
        <v>1089.9100000000001</v>
      </c>
      <c r="I12" s="3">
        <f>1389+2686+3337+3572+5601</f>
        <v>16585</v>
      </c>
      <c r="J12" s="1">
        <f>-3732.75-13899</f>
        <v>-17631.75</v>
      </c>
      <c r="K12" s="1">
        <f t="shared" si="1"/>
        <v>43.159999999999854</v>
      </c>
      <c r="L12" s="1"/>
      <c r="M12" s="1">
        <v>43.16</v>
      </c>
      <c r="N12" s="3">
        <f>1279+7423+4090</f>
        <v>12792</v>
      </c>
      <c r="O12" s="1">
        <v>-12792</v>
      </c>
      <c r="P12" s="1">
        <f t="shared" si="2"/>
        <v>43.159999999999854</v>
      </c>
      <c r="Q12" s="1"/>
      <c r="R12" s="1">
        <v>43.16</v>
      </c>
      <c r="S12" s="3">
        <f>1634+2900+3620+3382+4811</f>
        <v>16347</v>
      </c>
      <c r="T12" s="1">
        <v>-12631</v>
      </c>
      <c r="U12" s="1">
        <f t="shared" si="3"/>
        <v>3759.16</v>
      </c>
      <c r="V12" s="1"/>
      <c r="W12" s="1">
        <v>3759.16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ht="15.75" thickBot="1" x14ac:dyDescent="0.3">
      <c r="A13" t="s">
        <v>14</v>
      </c>
      <c r="B13" t="s">
        <v>15</v>
      </c>
      <c r="C13" s="1">
        <v>0</v>
      </c>
      <c r="D13" s="11">
        <v>566.75</v>
      </c>
      <c r="E13" s="1"/>
      <c r="F13" s="1">
        <f t="shared" si="0"/>
        <v>566.75</v>
      </c>
      <c r="H13" s="1">
        <v>566.75</v>
      </c>
      <c r="I13" s="1"/>
      <c r="J13" s="1"/>
      <c r="K13" s="1">
        <f t="shared" si="1"/>
        <v>566.75</v>
      </c>
      <c r="L13" s="1"/>
      <c r="M13" s="1">
        <v>566.75</v>
      </c>
      <c r="N13" s="1"/>
      <c r="O13" s="1"/>
      <c r="P13" s="1">
        <f t="shared" si="2"/>
        <v>566.75</v>
      </c>
      <c r="Q13" s="1"/>
      <c r="R13" s="1">
        <v>566.75</v>
      </c>
      <c r="S13" s="1"/>
      <c r="T13" s="1"/>
      <c r="U13" s="1">
        <f t="shared" si="3"/>
        <v>566.75</v>
      </c>
      <c r="V13" s="1"/>
      <c r="W13" s="1">
        <v>0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.75" thickBot="1" x14ac:dyDescent="0.3">
      <c r="A14" t="s">
        <v>16</v>
      </c>
      <c r="B14" t="s">
        <v>17</v>
      </c>
      <c r="C14" s="1">
        <v>0</v>
      </c>
      <c r="D14" s="12">
        <f>2665+28400+14484+22725+6241</f>
        <v>74515</v>
      </c>
      <c r="E14" s="1"/>
      <c r="F14" s="1">
        <f t="shared" si="0"/>
        <v>74515</v>
      </c>
      <c r="H14" s="1">
        <v>74515</v>
      </c>
      <c r="I14" s="18">
        <f>12259+14455+8174+9736+2546+715+2215</f>
        <v>50100</v>
      </c>
      <c r="J14" s="1">
        <v>-6909.07</v>
      </c>
      <c r="K14" s="1">
        <f t="shared" si="1"/>
        <v>117705.93</v>
      </c>
      <c r="L14" s="1"/>
      <c r="M14" s="1">
        <v>117705.93</v>
      </c>
      <c r="N14" s="1">
        <f>2825+22380+17001+15529+2232</f>
        <v>59967</v>
      </c>
      <c r="O14" s="1">
        <v>330</v>
      </c>
      <c r="P14" s="1">
        <f t="shared" si="2"/>
        <v>178002.93</v>
      </c>
      <c r="Q14" s="1"/>
      <c r="R14" s="1">
        <v>178002.93</v>
      </c>
      <c r="S14" s="1"/>
      <c r="T14" s="1"/>
      <c r="U14" s="1">
        <f t="shared" si="3"/>
        <v>178002.93</v>
      </c>
      <c r="V14" s="1"/>
      <c r="W14" s="1">
        <f>+U14-181652</f>
        <v>-3649.070000000007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.75" thickBot="1" x14ac:dyDescent="0.3">
      <c r="A15" t="s">
        <v>18</v>
      </c>
      <c r="B15" t="s">
        <v>19</v>
      </c>
      <c r="C15" s="1">
        <v>0.06</v>
      </c>
      <c r="D15" s="3">
        <f>1853+846</f>
        <v>2699</v>
      </c>
      <c r="E15" s="1">
        <f>-437.27-1308.04</f>
        <v>-1745.31</v>
      </c>
      <c r="F15" s="1">
        <f t="shared" si="0"/>
        <v>953.75</v>
      </c>
      <c r="H15" s="1">
        <v>953.75</v>
      </c>
      <c r="I15" s="17"/>
      <c r="J15" s="1">
        <f>-21159.69-812.52</f>
        <v>-21972.21</v>
      </c>
      <c r="K15" s="1">
        <f t="shared" si="1"/>
        <v>-21018.46</v>
      </c>
      <c r="L15" s="1"/>
      <c r="M15" s="1">
        <v>-21018.46</v>
      </c>
      <c r="N15" s="17">
        <f>191+815+1147</f>
        <v>2153</v>
      </c>
      <c r="O15" s="1">
        <f>-5623.43-2904.57</f>
        <v>-8528</v>
      </c>
      <c r="P15" s="1">
        <f t="shared" si="2"/>
        <v>-27393.46</v>
      </c>
      <c r="Q15" s="1"/>
      <c r="R15" s="1">
        <v>-27393.46</v>
      </c>
      <c r="S15" s="3">
        <f>5523+874+7904</f>
        <v>14301</v>
      </c>
      <c r="T15" s="1"/>
      <c r="U15" s="1">
        <f t="shared" si="3"/>
        <v>-13092.46</v>
      </c>
      <c r="V15" s="1"/>
      <c r="W15" s="1">
        <f>+U15+25707</f>
        <v>12614.54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.75" thickBot="1" x14ac:dyDescent="0.3">
      <c r="A16" t="s">
        <v>20</v>
      </c>
      <c r="B16" t="s">
        <v>21</v>
      </c>
      <c r="C16" s="1">
        <v>-1636.66</v>
      </c>
      <c r="D16" s="12">
        <f>44292+2670+13784</f>
        <v>60746</v>
      </c>
      <c r="E16" s="1">
        <f>-99139.15-7465.05</f>
        <v>-106604.2</v>
      </c>
      <c r="F16" s="1">
        <f t="shared" si="0"/>
        <v>-47494.86</v>
      </c>
      <c r="H16" s="1">
        <v>-47494.86</v>
      </c>
      <c r="I16" s="18">
        <f>1379+200</f>
        <v>1579</v>
      </c>
      <c r="J16" s="1">
        <f>-43589.7-5280.15</f>
        <v>-48869.85</v>
      </c>
      <c r="K16" s="1">
        <f t="shared" si="1"/>
        <v>-94785.709999999992</v>
      </c>
      <c r="L16" s="1"/>
      <c r="M16" s="1">
        <v>-94785.71</v>
      </c>
      <c r="N16" s="1">
        <f>28897+16388+84695+12466</f>
        <v>142446</v>
      </c>
      <c r="O16" s="1">
        <f>-189011.4-10738.19</f>
        <v>-199749.59</v>
      </c>
      <c r="P16" s="1">
        <f t="shared" si="2"/>
        <v>-152089.29999999999</v>
      </c>
      <c r="Q16" s="1"/>
      <c r="R16" s="1">
        <v>-152089.29999999999</v>
      </c>
      <c r="S16" s="3">
        <v>142387</v>
      </c>
      <c r="T16" s="1">
        <f>-121620.88-22692.12</f>
        <v>-144313</v>
      </c>
      <c r="U16" s="1">
        <f t="shared" si="3"/>
        <v>-154015.29999999999</v>
      </c>
      <c r="V16" s="1"/>
      <c r="W16" s="1">
        <f>+U16+194597</f>
        <v>40581.700000000012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.75" thickBot="1" x14ac:dyDescent="0.3">
      <c r="A17" t="s">
        <v>22</v>
      </c>
      <c r="B17" t="s">
        <v>23</v>
      </c>
      <c r="C17" s="1">
        <v>0</v>
      </c>
      <c r="D17" s="1"/>
      <c r="E17" s="1"/>
      <c r="F17" s="1">
        <f>SUM(C17:E17)</f>
        <v>0</v>
      </c>
      <c r="H17" s="1">
        <v>0</v>
      </c>
      <c r="I17" s="9"/>
      <c r="J17" s="1">
        <v>-833.48</v>
      </c>
      <c r="K17" s="1">
        <f>SUM(H17:J17)</f>
        <v>-833.48</v>
      </c>
      <c r="L17" s="1"/>
      <c r="M17" s="1">
        <v>-833.48</v>
      </c>
      <c r="N17" s="1"/>
      <c r="O17" s="1"/>
      <c r="P17" s="1">
        <f>SUM(M17:O17)</f>
        <v>-833.48</v>
      </c>
      <c r="Q17" s="1"/>
      <c r="R17" s="1">
        <v>-833.48</v>
      </c>
      <c r="S17" s="1"/>
      <c r="T17" s="1"/>
      <c r="U17" s="1">
        <f>SUM(R17:T17)</f>
        <v>-833.48</v>
      </c>
      <c r="V17" s="1"/>
      <c r="W17" s="1">
        <f>+U17+1226</f>
        <v>392.52</v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x14ac:dyDescent="0.25">
      <c r="A18" t="s">
        <v>32</v>
      </c>
      <c r="B18" s="1" t="s">
        <v>33</v>
      </c>
      <c r="C18" s="1">
        <v>0</v>
      </c>
      <c r="D18" s="1"/>
      <c r="E18" s="1"/>
      <c r="F18" s="1">
        <f t="shared" ref="F18:F23" si="4">SUM(C18:E18)</f>
        <v>0</v>
      </c>
      <c r="H18" s="1">
        <v>0</v>
      </c>
      <c r="I18" s="1"/>
      <c r="J18" s="1"/>
      <c r="K18" s="1">
        <f t="shared" ref="K18:K23" si="5">SUM(H18:J18)</f>
        <v>0</v>
      </c>
      <c r="L18" s="1"/>
      <c r="M18" s="1">
        <v>0</v>
      </c>
      <c r="N18" s="3">
        <f>8584+11478+5980+8170+51629</f>
        <v>85841</v>
      </c>
      <c r="O18" s="1">
        <v>-81621.58</v>
      </c>
      <c r="P18" s="1">
        <f t="shared" ref="P18:P23" si="6">SUM(M18:O18)</f>
        <v>4219.4199999999983</v>
      </c>
      <c r="Q18" s="1"/>
      <c r="R18" s="1">
        <v>4219.42</v>
      </c>
      <c r="S18" s="4">
        <f>13605+12750</f>
        <v>26355</v>
      </c>
      <c r="T18" s="1">
        <v>-1787.5</v>
      </c>
      <c r="U18" s="1">
        <f>SUM(R18:T18)</f>
        <v>28786.92</v>
      </c>
      <c r="V18" s="1"/>
      <c r="W18" s="1">
        <f>+U18-26355</f>
        <v>2431.9199999999983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ht="15.75" thickBot="1" x14ac:dyDescent="0.3">
      <c r="A19" t="s">
        <v>34</v>
      </c>
      <c r="B19" s="1" t="s">
        <v>35</v>
      </c>
      <c r="C19" s="1">
        <v>0</v>
      </c>
      <c r="D19" s="1"/>
      <c r="E19" s="1"/>
      <c r="F19" s="1">
        <f t="shared" si="4"/>
        <v>0</v>
      </c>
      <c r="H19" s="1">
        <v>0</v>
      </c>
      <c r="I19" s="1"/>
      <c r="J19" s="1"/>
      <c r="K19" s="1">
        <f t="shared" si="5"/>
        <v>0</v>
      </c>
      <c r="L19" s="1"/>
      <c r="M19" s="1">
        <v>0</v>
      </c>
      <c r="N19" s="1">
        <f>17044+150+49002+3741+70</f>
        <v>70007</v>
      </c>
      <c r="O19" s="1">
        <v>-66046</v>
      </c>
      <c r="P19" s="1">
        <f t="shared" si="6"/>
        <v>3961</v>
      </c>
      <c r="Q19" s="1"/>
      <c r="R19" s="1">
        <v>3961</v>
      </c>
      <c r="S19" s="19">
        <f>8464+16715+4248+12218+6251</f>
        <v>47896</v>
      </c>
      <c r="T19" s="1">
        <v>-71630.55</v>
      </c>
      <c r="U19" s="1">
        <f>SUM(R19:T19)</f>
        <v>-19773.550000000003</v>
      </c>
      <c r="V19" s="1"/>
      <c r="W19" s="1">
        <f>+U19+26355</f>
        <v>6581.4499999999971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x14ac:dyDescent="0.25">
      <c r="A20" t="s">
        <v>36</v>
      </c>
      <c r="B20" t="s">
        <v>37</v>
      </c>
      <c r="C20" s="1">
        <v>0</v>
      </c>
      <c r="D20" s="1"/>
      <c r="E20" s="1"/>
      <c r="F20" s="1">
        <f t="shared" si="4"/>
        <v>0</v>
      </c>
      <c r="H20" s="1">
        <v>0</v>
      </c>
      <c r="I20" s="1"/>
      <c r="J20" s="1"/>
      <c r="K20" s="1">
        <f t="shared" si="5"/>
        <v>0</v>
      </c>
      <c r="L20" s="1"/>
      <c r="M20" s="1">
        <v>0</v>
      </c>
      <c r="N20" s="1">
        <f>2987+5450+146</f>
        <v>8583</v>
      </c>
      <c r="O20" s="1">
        <v>-8286.64</v>
      </c>
      <c r="P20" s="1">
        <f t="shared" si="6"/>
        <v>296.36000000000058</v>
      </c>
      <c r="Q20" s="1"/>
      <c r="R20" s="1">
        <v>296.36</v>
      </c>
      <c r="S20" s="1">
        <f>7359+1562+1045+115+600+1800+1500</f>
        <v>13981</v>
      </c>
      <c r="T20" s="1">
        <v>-18725.63</v>
      </c>
      <c r="U20" s="1">
        <f>SUM(R20:T20)</f>
        <v>-4448.2700000000004</v>
      </c>
      <c r="V20" s="1"/>
      <c r="W20" s="1">
        <f>+U20</f>
        <v>-4448.2700000000004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x14ac:dyDescent="0.25">
      <c r="A21" t="s">
        <v>38</v>
      </c>
      <c r="B21" t="s">
        <v>39</v>
      </c>
      <c r="C21" s="1">
        <v>0</v>
      </c>
      <c r="D21" s="1"/>
      <c r="E21" s="1"/>
      <c r="F21" s="1">
        <f t="shared" si="4"/>
        <v>0</v>
      </c>
      <c r="H21" s="1">
        <v>0</v>
      </c>
      <c r="I21" s="1"/>
      <c r="J21" s="1"/>
      <c r="K21" s="1">
        <f t="shared" si="5"/>
        <v>0</v>
      </c>
      <c r="L21" s="1"/>
      <c r="M21" s="1">
        <v>0</v>
      </c>
      <c r="N21" s="1">
        <v>265</v>
      </c>
      <c r="O21" s="1">
        <v>-2658</v>
      </c>
      <c r="P21" s="1">
        <f t="shared" si="6"/>
        <v>-2393</v>
      </c>
      <c r="Q21" s="1"/>
      <c r="R21" s="1">
        <v>-2393</v>
      </c>
      <c r="S21" s="1">
        <v>2393</v>
      </c>
      <c r="T21" s="1"/>
      <c r="U21" s="1">
        <f>SUM(R21:T21)</f>
        <v>0</v>
      </c>
      <c r="V21" s="1"/>
      <c r="W21" s="1">
        <f t="shared" ref="W21:W23" si="7">+U21</f>
        <v>0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x14ac:dyDescent="0.25">
      <c r="A22" t="s">
        <v>40</v>
      </c>
      <c r="B22" t="s">
        <v>41</v>
      </c>
      <c r="C22" s="1">
        <v>0</v>
      </c>
      <c r="D22" s="1"/>
      <c r="E22" s="1"/>
      <c r="F22" s="1">
        <f t="shared" si="4"/>
        <v>0</v>
      </c>
      <c r="H22" s="1">
        <v>0</v>
      </c>
      <c r="I22" s="1"/>
      <c r="J22" s="1"/>
      <c r="K22" s="1">
        <f t="shared" si="5"/>
        <v>0</v>
      </c>
      <c r="L22" s="1"/>
      <c r="M22" s="1">
        <v>0</v>
      </c>
      <c r="N22" s="1">
        <v>201000</v>
      </c>
      <c r="O22" s="1">
        <v>-170234.6</v>
      </c>
      <c r="P22" s="1">
        <f t="shared" si="6"/>
        <v>30765.399999999994</v>
      </c>
      <c r="Q22" s="1"/>
      <c r="R22" s="1">
        <v>30765.4</v>
      </c>
      <c r="S22" s="1"/>
      <c r="T22" s="1"/>
      <c r="U22" s="1">
        <f>SUM(R22:T22)</f>
        <v>30765.4</v>
      </c>
      <c r="V22" s="1"/>
      <c r="W22" s="1">
        <f t="shared" si="7"/>
        <v>30765.4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x14ac:dyDescent="0.25">
      <c r="A23" t="s">
        <v>42</v>
      </c>
      <c r="B23" t="s">
        <v>43</v>
      </c>
      <c r="C23" s="1">
        <v>0</v>
      </c>
      <c r="D23" s="1"/>
      <c r="E23" s="1"/>
      <c r="F23" s="1">
        <f t="shared" si="4"/>
        <v>0</v>
      </c>
      <c r="H23" s="1">
        <v>0</v>
      </c>
      <c r="I23" s="1"/>
      <c r="J23" s="1"/>
      <c r="K23" s="1">
        <f t="shared" si="5"/>
        <v>0</v>
      </c>
      <c r="L23" s="1"/>
      <c r="M23" s="1">
        <v>0</v>
      </c>
      <c r="N23" s="1">
        <v>320652.12</v>
      </c>
      <c r="O23" s="1">
        <f>-19192.49-49128.09-1125</f>
        <v>-69445.58</v>
      </c>
      <c r="P23" s="1">
        <f t="shared" si="6"/>
        <v>251206.53999999998</v>
      </c>
      <c r="Q23" s="1"/>
      <c r="R23" s="1">
        <v>251206.54</v>
      </c>
      <c r="S23" s="1">
        <v>320652.12</v>
      </c>
      <c r="T23" s="1"/>
      <c r="U23" s="1">
        <f>SUM(R23:T23)</f>
        <v>571858.66</v>
      </c>
      <c r="V23" s="1"/>
      <c r="W23" s="1">
        <f t="shared" si="7"/>
        <v>571858.66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x14ac:dyDescent="0.25">
      <c r="C24" s="1"/>
      <c r="D24" s="1"/>
      <c r="E24" s="1"/>
      <c r="F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x14ac:dyDescent="0.25">
      <c r="C25" s="1"/>
      <c r="D25" s="1"/>
      <c r="E25" s="1"/>
      <c r="F25" s="13" t="s">
        <v>44</v>
      </c>
      <c r="H25" s="1"/>
      <c r="I25" s="1"/>
      <c r="J25" s="1"/>
      <c r="K25" s="13" t="s">
        <v>45</v>
      </c>
      <c r="L25" s="1"/>
      <c r="M25" s="1"/>
      <c r="N25" s="6"/>
      <c r="O25" s="1"/>
      <c r="P25" s="13" t="s">
        <v>46</v>
      </c>
      <c r="Q25" s="1"/>
      <c r="R25" s="1"/>
      <c r="S25" s="1"/>
      <c r="T25" s="1"/>
      <c r="U25" s="13" t="s">
        <v>47</v>
      </c>
      <c r="V25" s="1"/>
      <c r="W25" s="1" t="s">
        <v>48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x14ac:dyDescent="0.25">
      <c r="A26" t="s">
        <v>0</v>
      </c>
      <c r="B26" t="s">
        <v>1</v>
      </c>
      <c r="C26" s="1">
        <f>566.75*2</f>
        <v>1133.5</v>
      </c>
      <c r="D26" s="1"/>
      <c r="E26" s="1"/>
      <c r="F26" s="14">
        <f>SUM(C26:E26)</f>
        <v>1133.5</v>
      </c>
      <c r="H26" s="1"/>
      <c r="I26" s="1"/>
      <c r="J26" s="1"/>
      <c r="K26" s="14">
        <f>SUM(H26:J26)</f>
        <v>0</v>
      </c>
      <c r="L26" s="1"/>
      <c r="M26" s="1"/>
      <c r="O26" s="1"/>
      <c r="P26" s="14">
        <f>SUM(M26:O26)</f>
        <v>0</v>
      </c>
      <c r="Q26" s="1"/>
      <c r="R26" s="1"/>
      <c r="S26" s="1"/>
      <c r="T26" s="1"/>
      <c r="U26" s="14">
        <f>SUM(R26:T26)</f>
        <v>0</v>
      </c>
      <c r="V26" s="1"/>
      <c r="W26" s="1">
        <f>+U26+P26+K26+F26</f>
        <v>1133.5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x14ac:dyDescent="0.25">
      <c r="A27" t="s">
        <v>2</v>
      </c>
      <c r="B27" t="s">
        <v>3</v>
      </c>
      <c r="C27" s="1"/>
      <c r="D27" s="1"/>
      <c r="E27" s="1"/>
      <c r="F27" s="14">
        <f t="shared" ref="F27:F35" si="8">SUM(C27:E27)</f>
        <v>0</v>
      </c>
      <c r="H27" s="1">
        <v>-1226</v>
      </c>
      <c r="I27" s="1"/>
      <c r="J27" s="1"/>
      <c r="K27" s="14">
        <f t="shared" ref="K27:K35" si="9">SUM(H27:J27)</f>
        <v>-1226</v>
      </c>
      <c r="L27" s="1"/>
      <c r="M27" s="1"/>
      <c r="N27" s="1"/>
      <c r="O27" s="1"/>
      <c r="P27" s="14">
        <f t="shared" ref="P27:P35" si="10">SUM(M27:O27)</f>
        <v>0</v>
      </c>
      <c r="Q27" s="1"/>
      <c r="R27" s="1"/>
      <c r="S27" s="1"/>
      <c r="T27" s="1"/>
      <c r="U27" s="14">
        <f t="shared" ref="U27:U37" si="11">SUM(R27:T27)</f>
        <v>0</v>
      </c>
      <c r="V27" s="1"/>
      <c r="W27" s="1">
        <f t="shared" ref="W27:W39" si="12">+U27+P27+K27+F27</f>
        <v>-1226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x14ac:dyDescent="0.25">
      <c r="A28" t="s">
        <v>4</v>
      </c>
      <c r="B28" t="s">
        <v>5</v>
      </c>
      <c r="C28" s="1"/>
      <c r="D28" s="1">
        <v>-15177</v>
      </c>
      <c r="E28" s="1"/>
      <c r="F28" s="14">
        <f t="shared" si="8"/>
        <v>-15177</v>
      </c>
      <c r="I28" s="1">
        <v>-20626</v>
      </c>
      <c r="J28" s="1"/>
      <c r="K28" s="14">
        <f t="shared" si="9"/>
        <v>-20626</v>
      </c>
      <c r="L28" s="1"/>
      <c r="M28" s="1"/>
      <c r="N28" s="1">
        <v>-2849</v>
      </c>
      <c r="O28" s="1"/>
      <c r="P28" s="14">
        <f t="shared" si="10"/>
        <v>-2849</v>
      </c>
      <c r="Q28" s="1"/>
      <c r="R28" s="1"/>
      <c r="S28" s="1"/>
      <c r="T28" s="1"/>
      <c r="U28" s="14">
        <f t="shared" si="11"/>
        <v>0</v>
      </c>
      <c r="V28" s="1"/>
      <c r="W28" s="1">
        <f t="shared" si="12"/>
        <v>-38652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x14ac:dyDescent="0.25">
      <c r="A29" t="s">
        <v>8</v>
      </c>
      <c r="B29" t="s">
        <v>9</v>
      </c>
      <c r="C29" s="1"/>
      <c r="D29" s="1"/>
      <c r="E29" s="1">
        <v>-6858</v>
      </c>
      <c r="F29" s="14">
        <f t="shared" si="8"/>
        <v>-6858</v>
      </c>
      <c r="H29" s="1">
        <v>-3550</v>
      </c>
      <c r="I29" s="1"/>
      <c r="J29" s="1"/>
      <c r="K29" s="14">
        <f t="shared" si="9"/>
        <v>-3550</v>
      </c>
      <c r="L29" s="1"/>
      <c r="M29" s="1">
        <v>-4298</v>
      </c>
      <c r="O29" s="1"/>
      <c r="P29" s="14">
        <f t="shared" si="10"/>
        <v>-4298</v>
      </c>
      <c r="Q29" s="1"/>
      <c r="R29" s="1"/>
      <c r="S29" s="1">
        <v>-4097</v>
      </c>
      <c r="T29" s="1"/>
      <c r="U29" s="14">
        <f t="shared" si="11"/>
        <v>-4097</v>
      </c>
      <c r="V29" s="1"/>
      <c r="W29" s="1">
        <f t="shared" si="12"/>
        <v>-18803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x14ac:dyDescent="0.25">
      <c r="A30" t="s">
        <v>10</v>
      </c>
      <c r="B30" t="s">
        <v>11</v>
      </c>
      <c r="C30" s="1">
        <v>-566.75</v>
      </c>
      <c r="D30" s="1"/>
      <c r="E30" s="1">
        <v>6858</v>
      </c>
      <c r="F30" s="14">
        <f t="shared" si="8"/>
        <v>6291.25</v>
      </c>
      <c r="H30" s="1">
        <v>3550</v>
      </c>
      <c r="I30" s="1"/>
      <c r="J30" s="1"/>
      <c r="K30" s="14">
        <f t="shared" si="9"/>
        <v>3550</v>
      </c>
      <c r="L30" s="1"/>
      <c r="M30" s="1">
        <v>4298</v>
      </c>
      <c r="O30" s="1"/>
      <c r="P30" s="14">
        <f t="shared" si="10"/>
        <v>4298</v>
      </c>
      <c r="Q30" s="1"/>
      <c r="R30" s="1"/>
      <c r="S30" s="1">
        <v>4097</v>
      </c>
      <c r="T30" s="1"/>
      <c r="U30" s="14">
        <f t="shared" si="11"/>
        <v>4097</v>
      </c>
      <c r="W30" s="1">
        <f t="shared" si="12"/>
        <v>18236.25</v>
      </c>
    </row>
    <row r="31" spans="1:40" x14ac:dyDescent="0.25">
      <c r="A31" t="s">
        <v>14</v>
      </c>
      <c r="B31" t="s">
        <v>15</v>
      </c>
      <c r="C31" s="1">
        <v>-566.75</v>
      </c>
      <c r="D31" s="1"/>
      <c r="E31" s="1"/>
      <c r="F31" s="14">
        <f t="shared" si="8"/>
        <v>-566.75</v>
      </c>
      <c r="H31" s="1"/>
      <c r="I31" s="1"/>
      <c r="J31" s="1"/>
      <c r="K31" s="14">
        <f t="shared" si="9"/>
        <v>0</v>
      </c>
      <c r="L31" s="1"/>
      <c r="M31" s="1"/>
      <c r="N31" s="1"/>
      <c r="O31" s="1"/>
      <c r="P31" s="14">
        <f t="shared" si="10"/>
        <v>0</v>
      </c>
      <c r="Q31" s="1"/>
      <c r="R31" s="1"/>
      <c r="S31" s="1"/>
      <c r="T31" s="1"/>
      <c r="U31" s="14">
        <f t="shared" si="11"/>
        <v>0</v>
      </c>
      <c r="W31" s="1">
        <f t="shared" si="12"/>
        <v>-566.75</v>
      </c>
    </row>
    <row r="32" spans="1:40" x14ac:dyDescent="0.25">
      <c r="A32" t="s">
        <v>16</v>
      </c>
      <c r="B32" t="s">
        <v>17</v>
      </c>
      <c r="C32" s="1"/>
      <c r="D32" s="1">
        <v>-74515</v>
      </c>
      <c r="E32" s="1"/>
      <c r="F32" s="14">
        <f t="shared" si="8"/>
        <v>-74515</v>
      </c>
      <c r="I32" s="1"/>
      <c r="J32" s="1">
        <v>-47170</v>
      </c>
      <c r="K32" s="14">
        <f t="shared" si="9"/>
        <v>-47170</v>
      </c>
      <c r="L32" s="1"/>
      <c r="M32" s="1"/>
      <c r="O32" s="1">
        <f>-54910-2825-2232</f>
        <v>-59967</v>
      </c>
      <c r="P32" s="14">
        <f t="shared" si="10"/>
        <v>-59967</v>
      </c>
      <c r="Q32" s="1"/>
      <c r="R32" s="1"/>
      <c r="S32" s="1"/>
      <c r="T32" s="1"/>
      <c r="U32" s="14">
        <f t="shared" si="11"/>
        <v>0</v>
      </c>
      <c r="W32" s="1">
        <f t="shared" si="12"/>
        <v>-181652</v>
      </c>
    </row>
    <row r="33" spans="1:25" x14ac:dyDescent="0.25">
      <c r="A33" t="s">
        <v>18</v>
      </c>
      <c r="B33" t="s">
        <v>19</v>
      </c>
      <c r="C33" s="1"/>
      <c r="D33" s="1"/>
      <c r="E33" s="1"/>
      <c r="F33" s="14">
        <f t="shared" si="8"/>
        <v>0</v>
      </c>
      <c r="I33" s="1">
        <v>20626</v>
      </c>
      <c r="J33" s="1"/>
      <c r="K33" s="14">
        <f t="shared" si="9"/>
        <v>20626</v>
      </c>
      <c r="L33" s="1"/>
      <c r="M33" s="1"/>
      <c r="N33" s="1">
        <v>2849</v>
      </c>
      <c r="O33" s="1">
        <v>2232</v>
      </c>
      <c r="P33" s="14">
        <f t="shared" si="10"/>
        <v>5081</v>
      </c>
      <c r="Q33" s="1"/>
      <c r="R33" s="1"/>
      <c r="S33" s="1"/>
      <c r="T33" s="1"/>
      <c r="U33" s="14">
        <f t="shared" si="11"/>
        <v>0</v>
      </c>
      <c r="W33" s="1">
        <f t="shared" si="12"/>
        <v>25707</v>
      </c>
    </row>
    <row r="34" spans="1:25" x14ac:dyDescent="0.25">
      <c r="A34" t="s">
        <v>20</v>
      </c>
      <c r="B34" t="s">
        <v>21</v>
      </c>
      <c r="C34" s="1"/>
      <c r="D34" s="1">
        <f>-D28-D32</f>
        <v>89692</v>
      </c>
      <c r="E34" s="1"/>
      <c r="F34" s="14">
        <f t="shared" si="8"/>
        <v>89692</v>
      </c>
      <c r="H34" s="1"/>
      <c r="J34" s="1">
        <v>47170</v>
      </c>
      <c r="K34" s="14">
        <f t="shared" si="9"/>
        <v>47170</v>
      </c>
      <c r="L34" s="1"/>
      <c r="M34" s="1"/>
      <c r="O34" s="1">
        <v>57735</v>
      </c>
      <c r="P34" s="14">
        <f t="shared" si="10"/>
        <v>57735</v>
      </c>
      <c r="Q34" s="1"/>
      <c r="R34" s="1"/>
      <c r="S34" s="1"/>
      <c r="T34" s="1"/>
      <c r="U34" s="14">
        <f t="shared" si="11"/>
        <v>0</v>
      </c>
      <c r="W34" s="1">
        <f t="shared" si="12"/>
        <v>194597</v>
      </c>
    </row>
    <row r="35" spans="1:25" x14ac:dyDescent="0.25">
      <c r="A35" t="s">
        <v>22</v>
      </c>
      <c r="B35" t="s">
        <v>23</v>
      </c>
      <c r="C35" s="1"/>
      <c r="D35" s="6"/>
      <c r="F35" s="14">
        <f t="shared" si="8"/>
        <v>0</v>
      </c>
      <c r="H35" s="1">
        <v>1226</v>
      </c>
      <c r="I35" s="1"/>
      <c r="J35" s="1"/>
      <c r="K35" s="14">
        <f t="shared" si="9"/>
        <v>1226</v>
      </c>
      <c r="P35" s="14">
        <f t="shared" si="10"/>
        <v>0</v>
      </c>
      <c r="R35" s="1"/>
      <c r="U35" s="14">
        <f t="shared" si="11"/>
        <v>0</v>
      </c>
      <c r="W35" s="1">
        <f t="shared" si="12"/>
        <v>1226</v>
      </c>
      <c r="Y35" s="10"/>
    </row>
    <row r="36" spans="1:25" x14ac:dyDescent="0.25">
      <c r="A36" t="s">
        <v>32</v>
      </c>
      <c r="B36" s="1" t="s">
        <v>33</v>
      </c>
      <c r="C36" s="1"/>
      <c r="D36" s="6"/>
      <c r="H36" s="1"/>
      <c r="I36" s="1"/>
      <c r="J36" s="1"/>
      <c r="K36" s="1"/>
      <c r="P36" s="1"/>
      <c r="R36" s="1">
        <v>-26355</v>
      </c>
      <c r="U36" s="14">
        <f t="shared" si="11"/>
        <v>-26355</v>
      </c>
      <c r="W36" s="1">
        <f t="shared" si="12"/>
        <v>-26355</v>
      </c>
    </row>
    <row r="37" spans="1:25" x14ac:dyDescent="0.25">
      <c r="A37" t="s">
        <v>34</v>
      </c>
      <c r="B37" s="1" t="s">
        <v>35</v>
      </c>
      <c r="C37" s="1"/>
      <c r="D37" s="6"/>
      <c r="R37" s="1">
        <v>26355</v>
      </c>
      <c r="U37" s="14">
        <f t="shared" si="11"/>
        <v>26355</v>
      </c>
      <c r="W37" s="1">
        <f t="shared" si="12"/>
        <v>26355</v>
      </c>
    </row>
    <row r="38" spans="1:25" x14ac:dyDescent="0.25">
      <c r="D38" s="6"/>
      <c r="W38" s="1">
        <f t="shared" si="12"/>
        <v>0</v>
      </c>
    </row>
    <row r="39" spans="1:25" x14ac:dyDescent="0.25">
      <c r="D39" s="6"/>
      <c r="W39" s="1">
        <f t="shared" si="12"/>
        <v>0</v>
      </c>
    </row>
    <row r="40" spans="1:25" x14ac:dyDescent="0.25">
      <c r="D40" s="6"/>
    </row>
    <row r="41" spans="1:25" x14ac:dyDescent="0.25">
      <c r="D41" s="6"/>
    </row>
    <row r="42" spans="1:25" x14ac:dyDescent="0.25">
      <c r="D42" s="6"/>
    </row>
    <row r="43" spans="1:25" x14ac:dyDescent="0.25">
      <c r="D43" s="6"/>
    </row>
    <row r="44" spans="1:25" x14ac:dyDescent="0.25">
      <c r="D44" s="6"/>
    </row>
    <row r="45" spans="1:25" x14ac:dyDescent="0.25">
      <c r="D45" s="6"/>
    </row>
    <row r="51" spans="9:14" x14ac:dyDescent="0.25">
      <c r="I51" s="1"/>
      <c r="J51" s="10"/>
    </row>
    <row r="52" spans="9:14" x14ac:dyDescent="0.25">
      <c r="I52" s="1"/>
      <c r="J52" s="10"/>
    </row>
    <row r="53" spans="9:14" x14ac:dyDescent="0.25">
      <c r="I53" s="1"/>
      <c r="J53" s="10"/>
    </row>
    <row r="54" spans="9:14" x14ac:dyDescent="0.25">
      <c r="I54" s="1"/>
      <c r="J54" s="10"/>
    </row>
    <row r="58" spans="9:14" x14ac:dyDescent="0.25">
      <c r="N58" s="6">
        <f>+N19-66196</f>
        <v>3811</v>
      </c>
    </row>
  </sheetData>
  <mergeCells count="4">
    <mergeCell ref="C4:F4"/>
    <mergeCell ref="H4:K4"/>
    <mergeCell ref="M4:P4"/>
    <mergeCell ref="R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Journal</vt:lpstr>
      <vt:lpstr>Support for School Cleanup</vt:lpstr>
    </vt:vector>
  </TitlesOfParts>
  <Company>CliftonLarsonAllen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york37729</dc:creator>
  <cp:lastModifiedBy>york37729</cp:lastModifiedBy>
  <dcterms:created xsi:type="dcterms:W3CDTF">2024-04-25T17:36:39Z</dcterms:created>
  <dcterms:modified xsi:type="dcterms:W3CDTF">2024-04-26T16:00:05Z</dcterms:modified>
</cp:coreProperties>
</file>