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AR\"/>
    </mc:Choice>
  </mc:AlternateContent>
  <xr:revisionPtr revIDLastSave="0" documentId="13_ncr:1_{76FC1146-5205-4AF1-85C5-8859F5078755}" xr6:coauthVersionLast="47" xr6:coauthVersionMax="47" xr10:uidLastSave="{00000000-0000-0000-0000-000000000000}"/>
  <bookViews>
    <workbookView xWindow="-28920" yWindow="-120" windowWidth="29040" windowHeight="15840" tabRatio="862" xr2:uid="{00000000-000D-0000-FFFF-FFFF00000000}"/>
  </bookViews>
  <sheets>
    <sheet name="PP" sheetId="8" r:id="rId1"/>
    <sheet name="RE " sheetId="1" r:id="rId2"/>
    <sheet name="RE SUPP TAX" sheetId="7" r:id="rId3"/>
    <sheet name="MVE" sheetId="9" r:id="rId4"/>
    <sheet name="Boat" sheetId="11" r:id="rId5"/>
    <sheet name="TT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6" i="9" l="1"/>
  <c r="I168" i="9" l="1"/>
  <c r="I166" i="9"/>
  <c r="K166" i="9"/>
  <c r="K168" i="9" s="1"/>
  <c r="I164" i="9"/>
  <c r="I165" i="9"/>
  <c r="S90" i="9" l="1"/>
  <c r="M46" i="9" l="1"/>
  <c r="M87" i="9"/>
  <c r="M88" i="9" s="1"/>
  <c r="M89" i="9" s="1"/>
  <c r="M90" i="9" s="1"/>
  <c r="M91" i="9" s="1"/>
  <c r="M92" i="9" s="1"/>
  <c r="M93" i="9" s="1"/>
  <c r="M94" i="9" s="1"/>
  <c r="M95" i="9" s="1"/>
  <c r="M96" i="9" s="1"/>
  <c r="M68" i="9"/>
  <c r="M69" i="9" s="1"/>
  <c r="M70" i="9" s="1"/>
  <c r="M71" i="9" s="1"/>
  <c r="M72" i="9" s="1"/>
  <c r="M73" i="9" s="1"/>
  <c r="M74" i="9" s="1"/>
  <c r="M75" i="9" s="1"/>
  <c r="M76" i="9" s="1"/>
  <c r="M67" i="9"/>
  <c r="M47" i="9"/>
  <c r="M48" i="9" s="1"/>
  <c r="M49" i="9" s="1"/>
  <c r="M50" i="9" s="1"/>
  <c r="M51" i="9" s="1"/>
  <c r="M52" i="9" s="1"/>
  <c r="M53" i="9" s="1"/>
  <c r="M54" i="9" s="1"/>
  <c r="M55" i="9" s="1"/>
  <c r="M56" i="9" s="1"/>
  <c r="M29" i="9"/>
  <c r="M30" i="9" s="1"/>
  <c r="M31" i="9" s="1"/>
  <c r="M32" i="9" s="1"/>
  <c r="M33" i="9" s="1"/>
  <c r="M34" i="9" s="1"/>
  <c r="M35" i="9" s="1"/>
  <c r="M36" i="9" s="1"/>
  <c r="M37" i="9" s="1"/>
  <c r="M28" i="9"/>
  <c r="M16" i="9"/>
  <c r="M17" i="9" s="1"/>
  <c r="M18" i="9" s="1"/>
  <c r="M107" i="9" l="1"/>
  <c r="M108" i="9" s="1"/>
  <c r="M109" i="9" s="1"/>
  <c r="M110" i="9" s="1"/>
  <c r="M111" i="9" s="1"/>
  <c r="M112" i="9" s="1"/>
  <c r="M113" i="9" s="1"/>
  <c r="M114" i="9" s="1"/>
  <c r="M115" i="9" s="1"/>
  <c r="M116" i="9" s="1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48" i="9"/>
  <c r="K8" i="11"/>
  <c r="N8" i="11" s="1"/>
  <c r="K9" i="11"/>
  <c r="N9" i="11" s="1"/>
  <c r="K10" i="11"/>
  <c r="N10" i="11" s="1"/>
  <c r="K11" i="11"/>
  <c r="N11" i="11" s="1"/>
  <c r="K12" i="11"/>
  <c r="N12" i="11" s="1"/>
  <c r="K13" i="11"/>
  <c r="N13" i="11" s="1"/>
  <c r="M28" i="11"/>
  <c r="D28" i="11"/>
  <c r="E28" i="11"/>
  <c r="F28" i="11"/>
  <c r="G28" i="11"/>
  <c r="H28" i="11"/>
  <c r="I28" i="11"/>
  <c r="J28" i="11"/>
  <c r="C28" i="11"/>
  <c r="K25" i="11"/>
  <c r="N25" i="11" s="1"/>
  <c r="K26" i="11"/>
  <c r="K24" i="11"/>
  <c r="K23" i="11"/>
  <c r="K22" i="11"/>
  <c r="N22" i="11" s="1"/>
  <c r="K21" i="1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K14" i="11"/>
  <c r="M8" i="8"/>
  <c r="K28" i="11" l="1"/>
  <c r="N21" i="11"/>
  <c r="N23" i="11"/>
  <c r="N24" i="11"/>
  <c r="N26" i="11"/>
  <c r="N14" i="11"/>
  <c r="N15" i="11"/>
  <c r="S19" i="1"/>
  <c r="N28" i="11" l="1"/>
  <c r="M9" i="7"/>
  <c r="M10" i="7" s="1"/>
  <c r="M11" i="7" s="1"/>
  <c r="M12" i="7" s="1"/>
  <c r="M13" i="7" s="1"/>
  <c r="M14" i="7" s="1"/>
  <c r="M15" i="7" s="1"/>
  <c r="M16" i="7" s="1"/>
  <c r="M8" i="7"/>
  <c r="I19" i="1"/>
  <c r="I15" i="1"/>
  <c r="I14" i="1"/>
  <c r="D31" i="1"/>
  <c r="D30" i="1"/>
  <c r="I27" i="1"/>
  <c r="M18" i="1"/>
  <c r="M17" i="1"/>
  <c r="M16" i="1"/>
  <c r="M15" i="1"/>
  <c r="M14" i="1"/>
  <c r="M13" i="1"/>
  <c r="M12" i="1"/>
  <c r="M11" i="1"/>
  <c r="M10" i="1"/>
  <c r="M9" i="1"/>
  <c r="M36" i="1"/>
  <c r="M35" i="1"/>
  <c r="M34" i="1"/>
  <c r="M33" i="1"/>
  <c r="M32" i="1"/>
  <c r="M31" i="1"/>
  <c r="M30" i="1"/>
  <c r="M29" i="1"/>
  <c r="M28" i="1"/>
  <c r="M27" i="1"/>
  <c r="M55" i="1"/>
  <c r="M54" i="1"/>
  <c r="M53" i="1"/>
  <c r="M52" i="1"/>
  <c r="M51" i="1"/>
  <c r="M50" i="1"/>
  <c r="M49" i="1"/>
  <c r="M48" i="1"/>
  <c r="M47" i="1"/>
  <c r="M46" i="1"/>
  <c r="M45" i="1"/>
  <c r="M71" i="1"/>
  <c r="M72" i="1"/>
  <c r="M73" i="1" s="1"/>
  <c r="M70" i="1"/>
  <c r="M67" i="1"/>
  <c r="M68" i="1" s="1"/>
  <c r="M69" i="1" s="1"/>
  <c r="M66" i="1"/>
  <c r="M65" i="1"/>
  <c r="M64" i="1"/>
  <c r="M63" i="1"/>
  <c r="M89" i="1"/>
  <c r="M90" i="1" s="1"/>
  <c r="M91" i="1" s="1"/>
  <c r="M88" i="1"/>
  <c r="M82" i="1"/>
  <c r="M83" i="1" s="1"/>
  <c r="M84" i="1" s="1"/>
  <c r="M85" i="1" s="1"/>
  <c r="M86" i="1" s="1"/>
  <c r="M87" i="1" s="1"/>
  <c r="M81" i="1"/>
  <c r="M100" i="1"/>
  <c r="M101" i="1" s="1"/>
  <c r="M102" i="1" s="1"/>
  <c r="M103" i="1" s="1"/>
  <c r="M104" i="1" s="1"/>
  <c r="M105" i="1" s="1"/>
  <c r="M106" i="1" s="1"/>
  <c r="M107" i="1" s="1"/>
  <c r="M99" i="1"/>
  <c r="M127" i="1"/>
  <c r="M118" i="1"/>
  <c r="M119" i="1" s="1"/>
  <c r="M120" i="1" s="1"/>
  <c r="M121" i="1" s="1"/>
  <c r="M122" i="1" s="1"/>
  <c r="M123" i="1" s="1"/>
  <c r="M124" i="1" s="1"/>
  <c r="M125" i="1" s="1"/>
  <c r="M117" i="1"/>
  <c r="M9" i="8"/>
  <c r="M10" i="8" s="1"/>
  <c r="M11" i="8" s="1"/>
  <c r="M12" i="8" s="1"/>
  <c r="M13" i="8" s="1"/>
  <c r="M14" i="8" s="1"/>
  <c r="M15" i="8" s="1"/>
  <c r="M16" i="8" s="1"/>
  <c r="M17" i="8" s="1"/>
  <c r="M27" i="8"/>
  <c r="M28" i="8" s="1"/>
  <c r="M29" i="8" s="1"/>
  <c r="M30" i="8" s="1"/>
  <c r="M31" i="8" s="1"/>
  <c r="M32" i="8" s="1"/>
  <c r="M33" i="8" s="1"/>
  <c r="M34" i="8" s="1"/>
  <c r="M35" i="8" s="1"/>
  <c r="M36" i="8" s="1"/>
  <c r="M37" i="8" s="1"/>
  <c r="M48" i="8"/>
  <c r="M49" i="8" s="1"/>
  <c r="M50" i="8" s="1"/>
  <c r="M51" i="8" s="1"/>
  <c r="M52" i="8" s="1"/>
  <c r="M53" i="8" s="1"/>
  <c r="M54" i="8" s="1"/>
  <c r="M55" i="8" s="1"/>
  <c r="M56" i="8" s="1"/>
  <c r="M57" i="8" s="1"/>
  <c r="M47" i="8"/>
  <c r="M66" i="8"/>
  <c r="M67" i="8" s="1"/>
  <c r="M68" i="8" s="1"/>
  <c r="M69" i="8" s="1"/>
  <c r="M70" i="8" s="1"/>
  <c r="M71" i="8" s="1"/>
  <c r="M72" i="8" s="1"/>
  <c r="M73" i="8" s="1"/>
  <c r="M74" i="8" s="1"/>
  <c r="M75" i="8" s="1"/>
  <c r="M76" i="8" s="1"/>
  <c r="M85" i="8"/>
  <c r="M86" i="8"/>
  <c r="M87" i="8" s="1"/>
  <c r="M88" i="8" s="1"/>
  <c r="M89" i="8" s="1"/>
  <c r="M90" i="8" s="1"/>
  <c r="M91" i="8" s="1"/>
  <c r="M92" i="8" s="1"/>
  <c r="M93" i="8" s="1"/>
  <c r="M94" i="8" s="1"/>
  <c r="M95" i="8" s="1"/>
  <c r="K56" i="1"/>
  <c r="B44" i="1"/>
  <c r="J20" i="7"/>
  <c r="I20" i="7"/>
  <c r="H20" i="7"/>
  <c r="G20" i="7"/>
  <c r="F20" i="7"/>
  <c r="E20" i="7"/>
  <c r="D20" i="7"/>
  <c r="C20" i="7"/>
  <c r="B20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K7" i="7"/>
  <c r="B8" i="7" s="1"/>
  <c r="K8" i="7" s="1"/>
  <c r="G18" i="8"/>
  <c r="M168" i="9"/>
  <c r="K165" i="9"/>
  <c r="N165" i="9" s="1"/>
  <c r="K164" i="9"/>
  <c r="N164" i="9" s="1"/>
  <c r="K163" i="9"/>
  <c r="N163" i="9" s="1"/>
  <c r="K162" i="9"/>
  <c r="N162" i="9" s="1"/>
  <c r="K161" i="9"/>
  <c r="N161" i="9" s="1"/>
  <c r="K160" i="9"/>
  <c r="N160" i="9" s="1"/>
  <c r="K159" i="9"/>
  <c r="N159" i="9" s="1"/>
  <c r="K158" i="9"/>
  <c r="N158" i="9" s="1"/>
  <c r="K157" i="9"/>
  <c r="N157" i="9" s="1"/>
  <c r="K156" i="9"/>
  <c r="N156" i="9" s="1"/>
  <c r="K155" i="9"/>
  <c r="N155" i="9" s="1"/>
  <c r="J128" i="1"/>
  <c r="I128" i="1"/>
  <c r="H128" i="1"/>
  <c r="G128" i="1"/>
  <c r="F128" i="1"/>
  <c r="E128" i="1"/>
  <c r="D128" i="1"/>
  <c r="C128" i="1"/>
  <c r="B128" i="1"/>
  <c r="A117" i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K116" i="1"/>
  <c r="N116" i="1" s="1"/>
  <c r="J110" i="1"/>
  <c r="I110" i="1"/>
  <c r="H110" i="1"/>
  <c r="G110" i="1"/>
  <c r="F110" i="1"/>
  <c r="E110" i="1"/>
  <c r="D110" i="1"/>
  <c r="C110" i="1"/>
  <c r="B110" i="1"/>
  <c r="A99" i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K98" i="1"/>
  <c r="N98" i="1" s="1"/>
  <c r="T47" i="1"/>
  <c r="K20" i="7" l="1"/>
  <c r="B9" i="7"/>
  <c r="K9" i="7" s="1"/>
  <c r="N8" i="7"/>
  <c r="N7" i="7"/>
  <c r="B117" i="1"/>
  <c r="K117" i="1" s="1"/>
  <c r="B99" i="1"/>
  <c r="K99" i="1" s="1"/>
  <c r="B10" i="7" l="1"/>
  <c r="K10" i="7" s="1"/>
  <c r="N9" i="7"/>
  <c r="B118" i="1"/>
  <c r="K118" i="1" s="1"/>
  <c r="N117" i="1"/>
  <c r="B100" i="1"/>
  <c r="K100" i="1" s="1"/>
  <c r="N99" i="1"/>
  <c r="B11" i="7" l="1"/>
  <c r="K11" i="7" s="1"/>
  <c r="N10" i="7"/>
  <c r="B119" i="1"/>
  <c r="K119" i="1" s="1"/>
  <c r="N118" i="1"/>
  <c r="B101" i="1"/>
  <c r="K101" i="1" s="1"/>
  <c r="N100" i="1"/>
  <c r="B12" i="7" l="1"/>
  <c r="K12" i="7" s="1"/>
  <c r="N11" i="7"/>
  <c r="B120" i="1"/>
  <c r="K120" i="1" s="1"/>
  <c r="N119" i="1"/>
  <c r="B102" i="1"/>
  <c r="K102" i="1" s="1"/>
  <c r="N101" i="1"/>
  <c r="B13" i="7" l="1"/>
  <c r="K13" i="7" s="1"/>
  <c r="N12" i="7"/>
  <c r="N120" i="1"/>
  <c r="B121" i="1"/>
  <c r="K121" i="1" s="1"/>
  <c r="N102" i="1"/>
  <c r="B103" i="1"/>
  <c r="K103" i="1" s="1"/>
  <c r="B14" i="7" l="1"/>
  <c r="K14" i="7" s="1"/>
  <c r="N13" i="7"/>
  <c r="B122" i="1"/>
  <c r="K122" i="1" s="1"/>
  <c r="N121" i="1"/>
  <c r="B104" i="1"/>
  <c r="K104" i="1" s="1"/>
  <c r="N103" i="1"/>
  <c r="B15" i="7" l="1"/>
  <c r="K15" i="7" s="1"/>
  <c r="N14" i="7"/>
  <c r="B123" i="1"/>
  <c r="K123" i="1" s="1"/>
  <c r="N122" i="1"/>
  <c r="B105" i="1"/>
  <c r="K105" i="1" s="1"/>
  <c r="N104" i="1"/>
  <c r="B16" i="7" l="1"/>
  <c r="K16" i="7" s="1"/>
  <c r="N15" i="7"/>
  <c r="B124" i="1"/>
  <c r="K124" i="1" s="1"/>
  <c r="N123" i="1"/>
  <c r="B106" i="1"/>
  <c r="K106" i="1" s="1"/>
  <c r="N105" i="1"/>
  <c r="B17" i="7" l="1"/>
  <c r="K17" i="7" s="1"/>
  <c r="N16" i="7"/>
  <c r="N124" i="1"/>
  <c r="B125" i="1"/>
  <c r="K125" i="1" s="1"/>
  <c r="B107" i="1"/>
  <c r="K107" i="1" s="1"/>
  <c r="N106" i="1"/>
  <c r="B18" i="7" l="1"/>
  <c r="K18" i="7" s="1"/>
  <c r="N18" i="7" s="1"/>
  <c r="N17" i="7"/>
  <c r="B126" i="1"/>
  <c r="K126" i="1" s="1"/>
  <c r="N125" i="1"/>
  <c r="B108" i="1"/>
  <c r="K108" i="1" s="1"/>
  <c r="N107" i="1"/>
  <c r="N126" i="1" l="1"/>
  <c r="B127" i="1"/>
  <c r="K127" i="1" s="1"/>
  <c r="N108" i="1"/>
  <c r="B109" i="1"/>
  <c r="K109" i="1" s="1"/>
  <c r="K128" i="1" l="1"/>
  <c r="N127" i="1"/>
  <c r="K110" i="1"/>
  <c r="N109" i="1"/>
  <c r="D99" i="9" l="1"/>
  <c r="A29" i="10" l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127" i="9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07" i="9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87" i="9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67" i="9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47" i="9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28" i="9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J21" i="9"/>
  <c r="I21" i="9"/>
  <c r="H21" i="9"/>
  <c r="G21" i="9"/>
  <c r="F21" i="9"/>
  <c r="E21" i="9"/>
  <c r="D21" i="9"/>
  <c r="C21" i="9"/>
  <c r="S13" i="9" s="1"/>
  <c r="A9" i="9"/>
  <c r="A10" i="9" s="1"/>
  <c r="A11" i="9" s="1"/>
  <c r="A12" i="9" s="1"/>
  <c r="A13" i="9" s="1"/>
  <c r="A14" i="9" s="1"/>
  <c r="A15" i="9" s="1"/>
  <c r="K8" i="9"/>
  <c r="B9" i="9" s="1"/>
  <c r="K9" i="9" s="1"/>
  <c r="A81" i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J20" i="1"/>
  <c r="I20" i="1"/>
  <c r="H20" i="1"/>
  <c r="G20" i="1"/>
  <c r="F20" i="1"/>
  <c r="E20" i="1"/>
  <c r="D20" i="1"/>
  <c r="C20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K8" i="1"/>
  <c r="B9" i="1" s="1"/>
  <c r="K9" i="1" s="1"/>
  <c r="A123" i="8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05" i="8"/>
  <c r="A106" i="8" s="1"/>
  <c r="A107" i="8" s="1"/>
  <c r="A108" i="8" s="1"/>
  <c r="A109" i="8" s="1"/>
  <c r="A110" i="8" s="1"/>
  <c r="A111" i="8" s="1"/>
  <c r="A112" i="8" s="1"/>
  <c r="A113" i="8" s="1"/>
  <c r="A114" i="8" s="1"/>
  <c r="A104" i="8"/>
  <c r="A85" i="8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66" i="8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47" i="8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28" i="8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J20" i="8"/>
  <c r="I20" i="8"/>
  <c r="H20" i="8"/>
  <c r="G20" i="8"/>
  <c r="F20" i="8"/>
  <c r="E20" i="8"/>
  <c r="D20" i="8"/>
  <c r="C20" i="8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K7" i="8"/>
  <c r="B8" i="8" s="1"/>
  <c r="K8" i="8" s="1"/>
  <c r="N8" i="8" s="1"/>
  <c r="A16" i="9" l="1"/>
  <c r="A17" i="9" s="1"/>
  <c r="A18" i="9" s="1"/>
  <c r="A19" i="9" s="1"/>
  <c r="N8" i="9"/>
  <c r="K20" i="8"/>
  <c r="K20" i="1"/>
  <c r="B10" i="9"/>
  <c r="K10" i="9" s="1"/>
  <c r="N9" i="9"/>
  <c r="N9" i="1"/>
  <c r="B10" i="1"/>
  <c r="K10" i="1" s="1"/>
  <c r="N8" i="1"/>
  <c r="B9" i="8"/>
  <c r="K9" i="8" s="1"/>
  <c r="N9" i="8" s="1"/>
  <c r="N7" i="8"/>
  <c r="O9" i="1" l="1"/>
  <c r="N10" i="9"/>
  <c r="B11" i="9"/>
  <c r="K11" i="9" s="1"/>
  <c r="B11" i="1"/>
  <c r="K11" i="1" s="1"/>
  <c r="N10" i="1"/>
  <c r="O10" i="1" s="1"/>
  <c r="B10" i="8"/>
  <c r="K10" i="8" s="1"/>
  <c r="B12" i="9" l="1"/>
  <c r="K12" i="9" s="1"/>
  <c r="N11" i="9"/>
  <c r="N11" i="1"/>
  <c r="B12" i="1"/>
  <c r="K12" i="1" s="1"/>
  <c r="B11" i="8"/>
  <c r="K11" i="8" s="1"/>
  <c r="N10" i="8"/>
  <c r="B13" i="9" l="1"/>
  <c r="K13" i="9" s="1"/>
  <c r="N12" i="9"/>
  <c r="B13" i="1"/>
  <c r="K13" i="1" s="1"/>
  <c r="N12" i="1"/>
  <c r="O12" i="1" s="1"/>
  <c r="O11" i="1"/>
  <c r="B12" i="8"/>
  <c r="K12" i="8" s="1"/>
  <c r="N11" i="8"/>
  <c r="N13" i="9" l="1"/>
  <c r="B14" i="9"/>
  <c r="K14" i="9" s="1"/>
  <c r="B14" i="1"/>
  <c r="K14" i="1" s="1"/>
  <c r="N13" i="1"/>
  <c r="N12" i="8"/>
  <c r="B13" i="8"/>
  <c r="K13" i="8" s="1"/>
  <c r="N14" i="9" l="1"/>
  <c r="B15" i="9"/>
  <c r="K15" i="9" s="1"/>
  <c r="N14" i="1"/>
  <c r="O14" i="1" s="1"/>
  <c r="B15" i="1"/>
  <c r="K15" i="1" s="1"/>
  <c r="O13" i="1"/>
  <c r="B14" i="8"/>
  <c r="K14" i="8" s="1"/>
  <c r="N13" i="8"/>
  <c r="N15" i="9" l="1"/>
  <c r="B16" i="9"/>
  <c r="K16" i="9" s="1"/>
  <c r="B16" i="1"/>
  <c r="K16" i="1" s="1"/>
  <c r="N15" i="1"/>
  <c r="N14" i="8"/>
  <c r="B15" i="8"/>
  <c r="K15" i="8" s="1"/>
  <c r="N16" i="9" l="1"/>
  <c r="B17" i="9"/>
  <c r="K17" i="9" s="1"/>
  <c r="O15" i="1"/>
  <c r="B17" i="1"/>
  <c r="K17" i="1" s="1"/>
  <c r="N16" i="1"/>
  <c r="B16" i="8"/>
  <c r="K16" i="8" s="1"/>
  <c r="N15" i="8"/>
  <c r="N17" i="9" l="1"/>
  <c r="B18" i="9"/>
  <c r="K18" i="9" s="1"/>
  <c r="N17" i="1"/>
  <c r="O17" i="1" s="1"/>
  <c r="B18" i="1"/>
  <c r="K18" i="1" s="1"/>
  <c r="O16" i="1"/>
  <c r="B17" i="8"/>
  <c r="K17" i="8" s="1"/>
  <c r="N16" i="8"/>
  <c r="B19" i="9" l="1"/>
  <c r="K19" i="9" s="1"/>
  <c r="N18" i="9"/>
  <c r="B19" i="1"/>
  <c r="K19" i="1" s="1"/>
  <c r="N19" i="1" s="1"/>
  <c r="N18" i="1"/>
  <c r="B18" i="8"/>
  <c r="K18" i="8" s="1"/>
  <c r="N18" i="8" s="1"/>
  <c r="N17" i="8"/>
  <c r="N19" i="9" l="1"/>
  <c r="K21" i="9"/>
  <c r="S15" i="9" l="1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J40" i="9" l="1"/>
  <c r="I40" i="9"/>
  <c r="H40" i="9"/>
  <c r="G40" i="9"/>
  <c r="F40" i="9"/>
  <c r="E40" i="9"/>
  <c r="D40" i="9"/>
  <c r="C40" i="9"/>
  <c r="K27" i="9"/>
  <c r="B28" i="9" s="1"/>
  <c r="K28" i="9" s="1"/>
  <c r="J38" i="1"/>
  <c r="H38" i="1"/>
  <c r="G38" i="1"/>
  <c r="F38" i="1"/>
  <c r="C38" i="1"/>
  <c r="E38" i="1"/>
  <c r="D38" i="1"/>
  <c r="I38" i="1"/>
  <c r="K26" i="1"/>
  <c r="J40" i="8"/>
  <c r="I40" i="8"/>
  <c r="H40" i="8"/>
  <c r="G40" i="8"/>
  <c r="F40" i="8"/>
  <c r="E40" i="8"/>
  <c r="C40" i="8"/>
  <c r="D40" i="8"/>
  <c r="K27" i="8"/>
  <c r="B28" i="8" s="1"/>
  <c r="K28" i="8" s="1"/>
  <c r="B27" i="1" l="1"/>
  <c r="K27" i="1" s="1"/>
  <c r="B28" i="1" s="1"/>
  <c r="K28" i="1" s="1"/>
  <c r="N26" i="1"/>
  <c r="K38" i="1"/>
  <c r="N28" i="9"/>
  <c r="B29" i="9"/>
  <c r="K29" i="9" s="1"/>
  <c r="N27" i="9"/>
  <c r="B29" i="8"/>
  <c r="K29" i="8" s="1"/>
  <c r="N28" i="8"/>
  <c r="N27" i="8"/>
  <c r="N27" i="1" l="1"/>
  <c r="O27" i="1" s="1"/>
  <c r="B30" i="9"/>
  <c r="K30" i="9" s="1"/>
  <c r="N29" i="9"/>
  <c r="B29" i="1"/>
  <c r="K29" i="1" s="1"/>
  <c r="N28" i="1"/>
  <c r="O28" i="1" s="1"/>
  <c r="B30" i="8"/>
  <c r="K30" i="8" s="1"/>
  <c r="N29" i="8"/>
  <c r="N30" i="9" l="1"/>
  <c r="B31" i="9"/>
  <c r="K31" i="9" s="1"/>
  <c r="N29" i="1"/>
  <c r="B30" i="1"/>
  <c r="K30" i="1" s="1"/>
  <c r="N30" i="1" s="1"/>
  <c r="B31" i="8"/>
  <c r="K31" i="8" s="1"/>
  <c r="N30" i="8"/>
  <c r="O29" i="1" l="1"/>
  <c r="O30" i="1"/>
  <c r="B32" i="9"/>
  <c r="K32" i="9" s="1"/>
  <c r="N31" i="9"/>
  <c r="B31" i="1"/>
  <c r="K31" i="1" s="1"/>
  <c r="N31" i="1" s="1"/>
  <c r="B32" i="8"/>
  <c r="K32" i="8" s="1"/>
  <c r="N31" i="8"/>
  <c r="O31" i="1" l="1"/>
  <c r="B33" i="9"/>
  <c r="K33" i="9" s="1"/>
  <c r="N32" i="9"/>
  <c r="B32" i="1"/>
  <c r="K32" i="1" s="1"/>
  <c r="N32" i="1" s="1"/>
  <c r="O32" i="1" s="1"/>
  <c r="B33" i="8"/>
  <c r="K33" i="8" s="1"/>
  <c r="N32" i="8"/>
  <c r="N33" i="9" l="1"/>
  <c r="B34" i="9"/>
  <c r="K34" i="9" s="1"/>
  <c r="B33" i="1"/>
  <c r="K33" i="1" s="1"/>
  <c r="N33" i="1" s="1"/>
  <c r="B34" i="8"/>
  <c r="K34" i="8" s="1"/>
  <c r="N33" i="8"/>
  <c r="O33" i="1" l="1"/>
  <c r="B35" i="9"/>
  <c r="K35" i="9" s="1"/>
  <c r="N34" i="9"/>
  <c r="B34" i="1"/>
  <c r="K34" i="1" s="1"/>
  <c r="N34" i="1" s="1"/>
  <c r="O34" i="1" s="1"/>
  <c r="B35" i="8"/>
  <c r="K35" i="8" s="1"/>
  <c r="N34" i="8"/>
  <c r="B36" i="9" l="1"/>
  <c r="K36" i="9" s="1"/>
  <c r="N35" i="9"/>
  <c r="B35" i="1"/>
  <c r="K35" i="1" s="1"/>
  <c r="N35" i="1" s="1"/>
  <c r="B36" i="8"/>
  <c r="K36" i="8" s="1"/>
  <c r="N35" i="8"/>
  <c r="O35" i="1" l="1"/>
  <c r="N36" i="9"/>
  <c r="B37" i="9"/>
  <c r="K37" i="9" s="1"/>
  <c r="B36" i="1"/>
  <c r="K36" i="1" s="1"/>
  <c r="B37" i="8"/>
  <c r="K37" i="8" s="1"/>
  <c r="N36" i="8"/>
  <c r="N37" i="9" l="1"/>
  <c r="B38" i="9"/>
  <c r="K38" i="9" s="1"/>
  <c r="B37" i="1"/>
  <c r="K37" i="1" s="1"/>
  <c r="N37" i="1" s="1"/>
  <c r="N36" i="1"/>
  <c r="B38" i="8"/>
  <c r="K38" i="8" s="1"/>
  <c r="N37" i="8"/>
  <c r="K46" i="8"/>
  <c r="N38" i="8" l="1"/>
  <c r="K40" i="8"/>
  <c r="N38" i="9"/>
  <c r="K40" i="9"/>
  <c r="K145" i="9" l="1"/>
  <c r="N145" i="9" s="1"/>
  <c r="B41" i="10" l="1"/>
  <c r="C139" i="9"/>
  <c r="C119" i="9"/>
  <c r="B92" i="1" l="1"/>
  <c r="B74" i="1" l="1"/>
  <c r="B97" i="8"/>
  <c r="B116" i="8"/>
  <c r="B135" i="8"/>
  <c r="J21" i="10" l="1"/>
  <c r="I21" i="10"/>
  <c r="H21" i="10"/>
  <c r="G21" i="10"/>
  <c r="F21" i="10"/>
  <c r="E21" i="10"/>
  <c r="C21" i="10"/>
  <c r="B21" i="10"/>
  <c r="K8" i="10"/>
  <c r="N8" i="10" s="1"/>
  <c r="C41" i="10" l="1"/>
  <c r="D21" i="10"/>
  <c r="K21" i="10" s="1"/>
  <c r="F41" i="10"/>
  <c r="E41" i="10"/>
  <c r="K28" i="10"/>
  <c r="N28" i="10" s="1"/>
  <c r="J41" i="10"/>
  <c r="G41" i="10"/>
  <c r="I41" i="10"/>
  <c r="H41" i="10"/>
  <c r="D41" i="10"/>
  <c r="B9" i="10"/>
  <c r="K9" i="10" s="1"/>
  <c r="J59" i="9"/>
  <c r="I59" i="9"/>
  <c r="H59" i="9"/>
  <c r="G59" i="9"/>
  <c r="F59" i="9"/>
  <c r="E59" i="9"/>
  <c r="D59" i="9"/>
  <c r="C59" i="9"/>
  <c r="K46" i="9"/>
  <c r="B47" i="9" s="1"/>
  <c r="K47" i="9" s="1"/>
  <c r="B29" i="10" l="1"/>
  <c r="K29" i="10" s="1"/>
  <c r="N29" i="10" s="1"/>
  <c r="K41" i="10"/>
  <c r="B10" i="10"/>
  <c r="K10" i="10" s="1"/>
  <c r="N9" i="10"/>
  <c r="N47" i="9"/>
  <c r="B48" i="9"/>
  <c r="K48" i="9" s="1"/>
  <c r="N46" i="9"/>
  <c r="J59" i="8"/>
  <c r="H59" i="8"/>
  <c r="G59" i="8"/>
  <c r="F59" i="8"/>
  <c r="E59" i="8"/>
  <c r="D59" i="8"/>
  <c r="C59" i="8"/>
  <c r="I59" i="8"/>
  <c r="B47" i="8"/>
  <c r="K47" i="8" s="1"/>
  <c r="B30" i="10" l="1"/>
  <c r="K30" i="10" s="1"/>
  <c r="N30" i="10" s="1"/>
  <c r="N10" i="10"/>
  <c r="B11" i="10"/>
  <c r="K11" i="10" s="1"/>
  <c r="B49" i="9"/>
  <c r="K49" i="9" s="1"/>
  <c r="N48" i="9"/>
  <c r="B48" i="8"/>
  <c r="K48" i="8" s="1"/>
  <c r="N47" i="8"/>
  <c r="N46" i="8"/>
  <c r="K44" i="1"/>
  <c r="B45" i="1" s="1"/>
  <c r="K45" i="1" s="1"/>
  <c r="N45" i="1" s="1"/>
  <c r="J56" i="1"/>
  <c r="I56" i="1"/>
  <c r="H56" i="1"/>
  <c r="G56" i="1"/>
  <c r="F56" i="1"/>
  <c r="E56" i="1"/>
  <c r="D56" i="1"/>
  <c r="C56" i="1"/>
  <c r="B31" i="10" l="1"/>
  <c r="K31" i="10" s="1"/>
  <c r="N31" i="10" s="1"/>
  <c r="B12" i="10"/>
  <c r="K12" i="10" s="1"/>
  <c r="N11" i="10"/>
  <c r="N49" i="9"/>
  <c r="B50" i="9"/>
  <c r="K50" i="9" s="1"/>
  <c r="B49" i="8"/>
  <c r="K49" i="8" s="1"/>
  <c r="N48" i="8"/>
  <c r="B46" i="1"/>
  <c r="K46" i="1" s="1"/>
  <c r="N44" i="1"/>
  <c r="O45" i="1" s="1"/>
  <c r="B32" i="10" l="1"/>
  <c r="K32" i="10" s="1"/>
  <c r="N32" i="10" s="1"/>
  <c r="N12" i="10"/>
  <c r="B13" i="10"/>
  <c r="K13" i="10" s="1"/>
  <c r="B51" i="9"/>
  <c r="K51" i="9" s="1"/>
  <c r="N50" i="9"/>
  <c r="N49" i="8"/>
  <c r="B50" i="8"/>
  <c r="K50" i="8" s="1"/>
  <c r="B47" i="1"/>
  <c r="K47" i="1" s="1"/>
  <c r="N46" i="1"/>
  <c r="O46" i="1" l="1"/>
  <c r="B33" i="10"/>
  <c r="K33" i="10" s="1"/>
  <c r="N33" i="10" s="1"/>
  <c r="B14" i="10"/>
  <c r="K14" i="10" s="1"/>
  <c r="N13" i="10"/>
  <c r="N51" i="9"/>
  <c r="B52" i="9"/>
  <c r="K52" i="9" s="1"/>
  <c r="B51" i="8"/>
  <c r="K51" i="8" s="1"/>
  <c r="N50" i="8"/>
  <c r="B48" i="1"/>
  <c r="K48" i="1" s="1"/>
  <c r="N47" i="1"/>
  <c r="O47" i="1" s="1"/>
  <c r="B34" i="10" l="1"/>
  <c r="K34" i="10" s="1"/>
  <c r="N34" i="10" s="1"/>
  <c r="N14" i="10"/>
  <c r="B15" i="10"/>
  <c r="K15" i="10" s="1"/>
  <c r="B53" i="9"/>
  <c r="K53" i="9" s="1"/>
  <c r="B54" i="9" s="1"/>
  <c r="N52" i="9"/>
  <c r="N51" i="8"/>
  <c r="B52" i="8"/>
  <c r="K52" i="8" s="1"/>
  <c r="B49" i="1"/>
  <c r="K49" i="1" s="1"/>
  <c r="N48" i="1"/>
  <c r="O48" i="1" s="1"/>
  <c r="B35" i="10" l="1"/>
  <c r="K35" i="10" s="1"/>
  <c r="N35" i="10" s="1"/>
  <c r="B16" i="10"/>
  <c r="K16" i="10" s="1"/>
  <c r="N15" i="10"/>
  <c r="N53" i="9"/>
  <c r="K54" i="9"/>
  <c r="B53" i="8"/>
  <c r="K53" i="8" s="1"/>
  <c r="N52" i="8"/>
  <c r="B50" i="1"/>
  <c r="K50" i="1" s="1"/>
  <c r="N49" i="1"/>
  <c r="B36" i="10" l="1"/>
  <c r="K36" i="10" s="1"/>
  <c r="N36" i="10" s="1"/>
  <c r="O49" i="1"/>
  <c r="N16" i="10"/>
  <c r="B17" i="10"/>
  <c r="K17" i="10" s="1"/>
  <c r="B55" i="9"/>
  <c r="K55" i="9" s="1"/>
  <c r="B56" i="9" s="1"/>
  <c r="N54" i="9"/>
  <c r="B54" i="8"/>
  <c r="K54" i="8" s="1"/>
  <c r="N53" i="8"/>
  <c r="B51" i="1"/>
  <c r="K51" i="1" s="1"/>
  <c r="N50" i="1"/>
  <c r="K80" i="1"/>
  <c r="B37" i="10" l="1"/>
  <c r="K37" i="10" s="1"/>
  <c r="N37" i="10" s="1"/>
  <c r="O50" i="1"/>
  <c r="B18" i="10"/>
  <c r="K18" i="10" s="1"/>
  <c r="B19" i="10" s="1"/>
  <c r="N17" i="10"/>
  <c r="K56" i="9"/>
  <c r="N55" i="9"/>
  <c r="B55" i="8"/>
  <c r="K55" i="8" s="1"/>
  <c r="N54" i="8"/>
  <c r="B52" i="1"/>
  <c r="K52" i="1" s="1"/>
  <c r="N51" i="1"/>
  <c r="B38" i="10" l="1"/>
  <c r="K38" i="10" s="1"/>
  <c r="N38" i="10" s="1"/>
  <c r="O51" i="1"/>
  <c r="N18" i="10"/>
  <c r="K19" i="10"/>
  <c r="N19" i="10" s="1"/>
  <c r="B57" i="9"/>
  <c r="N56" i="9"/>
  <c r="N55" i="8"/>
  <c r="B56" i="8"/>
  <c r="K56" i="8" s="1"/>
  <c r="B53" i="1"/>
  <c r="K53" i="1" s="1"/>
  <c r="N52" i="1"/>
  <c r="B39" i="10" l="1"/>
  <c r="K39" i="10" s="1"/>
  <c r="N39" i="10" s="1"/>
  <c r="O52" i="1"/>
  <c r="K57" i="9"/>
  <c r="B57" i="8"/>
  <c r="K57" i="8" s="1"/>
  <c r="N56" i="8"/>
  <c r="B54" i="1"/>
  <c r="K54" i="1" s="1"/>
  <c r="N53" i="1"/>
  <c r="O53" i="1" s="1"/>
  <c r="N57" i="9" l="1"/>
  <c r="K59" i="9"/>
  <c r="N57" i="8"/>
  <c r="K59" i="8"/>
  <c r="B55" i="1"/>
  <c r="K55" i="1" s="1"/>
  <c r="N55" i="1" s="1"/>
  <c r="N54" i="1"/>
  <c r="K126" i="9" l="1"/>
  <c r="B127" i="9" s="1"/>
  <c r="K127" i="9" s="1"/>
  <c r="N127" i="9" s="1"/>
  <c r="K106" i="9"/>
  <c r="B107" i="9" s="1"/>
  <c r="K107" i="9" s="1"/>
  <c r="N107" i="9" s="1"/>
  <c r="K86" i="9"/>
  <c r="N86" i="9" s="1"/>
  <c r="J168" i="9"/>
  <c r="H168" i="9"/>
  <c r="G168" i="9"/>
  <c r="F168" i="9"/>
  <c r="E168" i="9"/>
  <c r="D168" i="9"/>
  <c r="C168" i="9"/>
  <c r="J139" i="9"/>
  <c r="I139" i="9"/>
  <c r="H139" i="9"/>
  <c r="G139" i="9"/>
  <c r="F139" i="9"/>
  <c r="E139" i="9"/>
  <c r="D139" i="9"/>
  <c r="J119" i="9"/>
  <c r="I119" i="9"/>
  <c r="H119" i="9"/>
  <c r="G119" i="9"/>
  <c r="F119" i="9"/>
  <c r="E119" i="9"/>
  <c r="D119" i="9"/>
  <c r="J99" i="9"/>
  <c r="I99" i="9"/>
  <c r="H99" i="9"/>
  <c r="G99" i="9"/>
  <c r="F99" i="9"/>
  <c r="E99" i="9"/>
  <c r="C99" i="9"/>
  <c r="I92" i="1"/>
  <c r="N80" i="1"/>
  <c r="J92" i="1"/>
  <c r="G92" i="1"/>
  <c r="F92" i="1"/>
  <c r="E92" i="1"/>
  <c r="C92" i="1"/>
  <c r="H92" i="1"/>
  <c r="D92" i="1"/>
  <c r="K65" i="8"/>
  <c r="B66" i="8" s="1"/>
  <c r="K122" i="8"/>
  <c r="N122" i="8" s="1"/>
  <c r="J135" i="8"/>
  <c r="I135" i="8"/>
  <c r="H135" i="8"/>
  <c r="G135" i="8"/>
  <c r="F135" i="8"/>
  <c r="E135" i="8"/>
  <c r="C135" i="8"/>
  <c r="D135" i="8"/>
  <c r="J116" i="8"/>
  <c r="I116" i="8"/>
  <c r="H116" i="8"/>
  <c r="G116" i="8"/>
  <c r="F116" i="8"/>
  <c r="E116" i="8"/>
  <c r="C116" i="8"/>
  <c r="D116" i="8"/>
  <c r="K103" i="8"/>
  <c r="N103" i="8" s="1"/>
  <c r="K135" i="8" l="1"/>
  <c r="N126" i="9"/>
  <c r="N106" i="9"/>
  <c r="B87" i="9"/>
  <c r="K87" i="9" s="1"/>
  <c r="N87" i="9" s="1"/>
  <c r="K139" i="9"/>
  <c r="B128" i="9"/>
  <c r="K128" i="9" s="1"/>
  <c r="N128" i="9" s="1"/>
  <c r="B108" i="9"/>
  <c r="K108" i="9" s="1"/>
  <c r="N108" i="9" s="1"/>
  <c r="B81" i="1"/>
  <c r="K81" i="1" s="1"/>
  <c r="B123" i="8"/>
  <c r="K123" i="8" s="1"/>
  <c r="N123" i="8" s="1"/>
  <c r="K116" i="8"/>
  <c r="B104" i="8"/>
  <c r="K104" i="8" s="1"/>
  <c r="N104" i="8" s="1"/>
  <c r="B88" i="9" l="1"/>
  <c r="K88" i="9" s="1"/>
  <c r="N88" i="9" s="1"/>
  <c r="B129" i="9"/>
  <c r="K129" i="9" s="1"/>
  <c r="N129" i="9" s="1"/>
  <c r="B109" i="9"/>
  <c r="K109" i="9" s="1"/>
  <c r="N109" i="9" s="1"/>
  <c r="B82" i="1"/>
  <c r="K82" i="1" s="1"/>
  <c r="N81" i="1"/>
  <c r="B124" i="8"/>
  <c r="K124" i="8" s="1"/>
  <c r="N124" i="8" s="1"/>
  <c r="B105" i="8"/>
  <c r="B89" i="9" l="1"/>
  <c r="K89" i="9" s="1"/>
  <c r="N89" i="9" s="1"/>
  <c r="B130" i="9"/>
  <c r="K130" i="9" s="1"/>
  <c r="N130" i="9" s="1"/>
  <c r="B110" i="9"/>
  <c r="K110" i="9" s="1"/>
  <c r="N110" i="9" s="1"/>
  <c r="B83" i="1"/>
  <c r="K83" i="1" s="1"/>
  <c r="N82" i="1"/>
  <c r="B125" i="8"/>
  <c r="K125" i="8" s="1"/>
  <c r="N125" i="8" s="1"/>
  <c r="K105" i="8"/>
  <c r="N105" i="8" s="1"/>
  <c r="J97" i="8"/>
  <c r="I97" i="8"/>
  <c r="H97" i="8"/>
  <c r="G97" i="8"/>
  <c r="F97" i="8"/>
  <c r="E97" i="8"/>
  <c r="D97" i="8"/>
  <c r="C97" i="8"/>
  <c r="K84" i="8"/>
  <c r="B90" i="9" l="1"/>
  <c r="K90" i="9" s="1"/>
  <c r="N90" i="9" s="1"/>
  <c r="B131" i="9"/>
  <c r="K131" i="9" s="1"/>
  <c r="N131" i="9" s="1"/>
  <c r="B111" i="9"/>
  <c r="K111" i="9" s="1"/>
  <c r="N111" i="9" s="1"/>
  <c r="N83" i="1"/>
  <c r="B84" i="1"/>
  <c r="K84" i="1" s="1"/>
  <c r="B126" i="8"/>
  <c r="K126" i="8" s="1"/>
  <c r="N126" i="8" s="1"/>
  <c r="B85" i="8"/>
  <c r="K85" i="8" s="1"/>
  <c r="N85" i="8" s="1"/>
  <c r="N84" i="8"/>
  <c r="B106" i="8"/>
  <c r="K106" i="8" s="1"/>
  <c r="K97" i="8"/>
  <c r="J79" i="9"/>
  <c r="I79" i="9"/>
  <c r="H79" i="9"/>
  <c r="G79" i="9"/>
  <c r="F79" i="9"/>
  <c r="E79" i="9"/>
  <c r="D79" i="9"/>
  <c r="C79" i="9"/>
  <c r="K66" i="9"/>
  <c r="N66" i="9" s="1"/>
  <c r="I78" i="8"/>
  <c r="J78" i="8"/>
  <c r="G78" i="8"/>
  <c r="F78" i="8"/>
  <c r="E78" i="8"/>
  <c r="C78" i="8"/>
  <c r="H78" i="8"/>
  <c r="N65" i="8"/>
  <c r="D78" i="8"/>
  <c r="E74" i="1"/>
  <c r="F74" i="1"/>
  <c r="G74" i="1"/>
  <c r="J74" i="1"/>
  <c r="C74" i="1"/>
  <c r="H74" i="1" l="1"/>
  <c r="B86" i="8"/>
  <c r="K86" i="8" s="1"/>
  <c r="N86" i="8" s="1"/>
  <c r="B127" i="8"/>
  <c r="K127" i="8" s="1"/>
  <c r="N127" i="8" s="1"/>
  <c r="D74" i="1"/>
  <c r="I74" i="1"/>
  <c r="K62" i="1"/>
  <c r="B91" i="9"/>
  <c r="K91" i="9" s="1"/>
  <c r="N91" i="9" s="1"/>
  <c r="B132" i="9"/>
  <c r="K132" i="9" s="1"/>
  <c r="N132" i="9" s="1"/>
  <c r="B112" i="9"/>
  <c r="K112" i="9" s="1"/>
  <c r="N112" i="9" s="1"/>
  <c r="B85" i="1"/>
  <c r="K85" i="1" s="1"/>
  <c r="N84" i="1"/>
  <c r="N106" i="8"/>
  <c r="B107" i="8"/>
  <c r="K107" i="8" s="1"/>
  <c r="B67" i="9"/>
  <c r="K67" i="9" s="1"/>
  <c r="N67" i="9" s="1"/>
  <c r="K66" i="8"/>
  <c r="N66" i="8" s="1"/>
  <c r="B63" i="1" l="1"/>
  <c r="K63" i="1" s="1"/>
  <c r="B64" i="1" s="1"/>
  <c r="K64" i="1" s="1"/>
  <c r="N64" i="1" s="1"/>
  <c r="N62" i="1"/>
  <c r="B128" i="8"/>
  <c r="K128" i="8" s="1"/>
  <c r="N128" i="8" s="1"/>
  <c r="B87" i="8"/>
  <c r="K87" i="8" s="1"/>
  <c r="N87" i="8" s="1"/>
  <c r="K74" i="1"/>
  <c r="B68" i="9"/>
  <c r="K68" i="9" s="1"/>
  <c r="N68" i="9" s="1"/>
  <c r="B92" i="9"/>
  <c r="K92" i="9" s="1"/>
  <c r="N92" i="9" s="1"/>
  <c r="B133" i="9"/>
  <c r="K133" i="9" s="1"/>
  <c r="N133" i="9" s="1"/>
  <c r="B113" i="9"/>
  <c r="K113" i="9" s="1"/>
  <c r="N113" i="9" s="1"/>
  <c r="B86" i="1"/>
  <c r="K86" i="1" s="1"/>
  <c r="N85" i="1"/>
  <c r="N107" i="8"/>
  <c r="B108" i="8"/>
  <c r="K108" i="8" s="1"/>
  <c r="B67" i="8"/>
  <c r="K67" i="8" s="1"/>
  <c r="N67" i="8" s="1"/>
  <c r="B65" i="1" l="1"/>
  <c r="K65" i="1" s="1"/>
  <c r="N65" i="1" s="1"/>
  <c r="N63" i="1"/>
  <c r="B129" i="8"/>
  <c r="K129" i="8" s="1"/>
  <c r="N129" i="8" s="1"/>
  <c r="B88" i="8"/>
  <c r="K88" i="8" s="1"/>
  <c r="N88" i="8" s="1"/>
  <c r="B69" i="9"/>
  <c r="K69" i="9" s="1"/>
  <c r="N69" i="9" s="1"/>
  <c r="B93" i="9"/>
  <c r="K93" i="9" s="1"/>
  <c r="N93" i="9" s="1"/>
  <c r="B134" i="9"/>
  <c r="K134" i="9" s="1"/>
  <c r="N134" i="9" s="1"/>
  <c r="B114" i="9"/>
  <c r="K114" i="9" s="1"/>
  <c r="N114" i="9" s="1"/>
  <c r="B87" i="1"/>
  <c r="K87" i="1" s="1"/>
  <c r="N87" i="1" s="1"/>
  <c r="N86" i="1"/>
  <c r="N108" i="8"/>
  <c r="B109" i="8"/>
  <c r="K109" i="8" s="1"/>
  <c r="B68" i="8"/>
  <c r="B66" i="1" l="1"/>
  <c r="K66" i="1" s="1"/>
  <c r="N66" i="1" s="1"/>
  <c r="B130" i="8"/>
  <c r="K130" i="8" s="1"/>
  <c r="N130" i="8" s="1"/>
  <c r="B89" i="8"/>
  <c r="K89" i="8" s="1"/>
  <c r="N89" i="8" s="1"/>
  <c r="B70" i="9"/>
  <c r="K70" i="9" s="1"/>
  <c r="N70" i="9" s="1"/>
  <c r="B94" i="9"/>
  <c r="K94" i="9" s="1"/>
  <c r="N94" i="9" s="1"/>
  <c r="B135" i="9"/>
  <c r="K135" i="9" s="1"/>
  <c r="B115" i="9"/>
  <c r="K115" i="9" s="1"/>
  <c r="B88" i="1"/>
  <c r="K88" i="1" s="1"/>
  <c r="N88" i="1" s="1"/>
  <c r="N109" i="8"/>
  <c r="B110" i="8"/>
  <c r="K110" i="8" s="1"/>
  <c r="K68" i="8"/>
  <c r="N68" i="8" s="1"/>
  <c r="B67" i="1" l="1"/>
  <c r="K67" i="1" s="1"/>
  <c r="B68" i="1" s="1"/>
  <c r="K68" i="1" s="1"/>
  <c r="B131" i="8"/>
  <c r="K131" i="8" s="1"/>
  <c r="N131" i="8" s="1"/>
  <c r="B90" i="8"/>
  <c r="K90" i="8" s="1"/>
  <c r="N90" i="8" s="1"/>
  <c r="B71" i="9"/>
  <c r="K71" i="9" s="1"/>
  <c r="N71" i="9" s="1"/>
  <c r="B95" i="9"/>
  <c r="K95" i="9" s="1"/>
  <c r="B96" i="9" s="1"/>
  <c r="K96" i="9" s="1"/>
  <c r="N96" i="9" s="1"/>
  <c r="K154" i="9"/>
  <c r="N135" i="9"/>
  <c r="B136" i="9"/>
  <c r="K136" i="9" s="1"/>
  <c r="N136" i="9" s="1"/>
  <c r="B116" i="9"/>
  <c r="K116" i="9" s="1"/>
  <c r="N116" i="9" s="1"/>
  <c r="N115" i="9"/>
  <c r="B89" i="1"/>
  <c r="K89" i="1" s="1"/>
  <c r="N89" i="1" s="1"/>
  <c r="N110" i="8"/>
  <c r="B111" i="8"/>
  <c r="K111" i="8" s="1"/>
  <c r="B69" i="8"/>
  <c r="K69" i="8" s="1"/>
  <c r="N154" i="9" l="1"/>
  <c r="N67" i="1"/>
  <c r="B132" i="8"/>
  <c r="K132" i="8" s="1"/>
  <c r="N132" i="8" s="1"/>
  <c r="B91" i="8"/>
  <c r="K91" i="8" s="1"/>
  <c r="N91" i="8" s="1"/>
  <c r="B72" i="9"/>
  <c r="K72" i="9" s="1"/>
  <c r="N72" i="9" s="1"/>
  <c r="N95" i="9"/>
  <c r="N68" i="1"/>
  <c r="B69" i="1"/>
  <c r="K69" i="1" s="1"/>
  <c r="B137" i="9"/>
  <c r="K137" i="9" s="1"/>
  <c r="N137" i="9" s="1"/>
  <c r="B117" i="9"/>
  <c r="K117" i="9" s="1"/>
  <c r="B97" i="9"/>
  <c r="K97" i="9" s="1"/>
  <c r="B90" i="1"/>
  <c r="K90" i="1" s="1"/>
  <c r="N90" i="1" s="1"/>
  <c r="N111" i="8"/>
  <c r="B112" i="8"/>
  <c r="K112" i="8" s="1"/>
  <c r="N69" i="8"/>
  <c r="B70" i="8"/>
  <c r="K70" i="8" s="1"/>
  <c r="K153" i="9" l="1"/>
  <c r="N117" i="9"/>
  <c r="K119" i="9"/>
  <c r="N97" i="9"/>
  <c r="K99" i="9"/>
  <c r="B133" i="8"/>
  <c r="K133" i="8" s="1"/>
  <c r="N133" i="8" s="1"/>
  <c r="B92" i="8"/>
  <c r="K92" i="8" s="1"/>
  <c r="N92" i="8" s="1"/>
  <c r="B73" i="9"/>
  <c r="K73" i="9" s="1"/>
  <c r="N73" i="9" s="1"/>
  <c r="N69" i="1"/>
  <c r="B70" i="1"/>
  <c r="K70" i="1" s="1"/>
  <c r="B91" i="1"/>
  <c r="K91" i="1" s="1"/>
  <c r="N112" i="8"/>
  <c r="B113" i="8"/>
  <c r="K113" i="8" s="1"/>
  <c r="N113" i="8" s="1"/>
  <c r="N70" i="8"/>
  <c r="B71" i="8"/>
  <c r="K71" i="8" s="1"/>
  <c r="N153" i="9" l="1"/>
  <c r="K152" i="9"/>
  <c r="N152" i="9" s="1"/>
  <c r="N91" i="1"/>
  <c r="K92" i="1"/>
  <c r="B93" i="8"/>
  <c r="K93" i="8" s="1"/>
  <c r="N93" i="8" s="1"/>
  <c r="B74" i="9"/>
  <c r="K74" i="9" s="1"/>
  <c r="N74" i="9" s="1"/>
  <c r="N70" i="1"/>
  <c r="B71" i="1"/>
  <c r="B114" i="8"/>
  <c r="K114" i="8" s="1"/>
  <c r="N114" i="8" s="1"/>
  <c r="N71" i="8"/>
  <c r="B72" i="8"/>
  <c r="K72" i="8" s="1"/>
  <c r="K151" i="9" l="1"/>
  <c r="N151" i="9" s="1"/>
  <c r="K71" i="1"/>
  <c r="N71" i="1" s="1"/>
  <c r="B94" i="8"/>
  <c r="K94" i="8" s="1"/>
  <c r="N94" i="8" s="1"/>
  <c r="B75" i="9"/>
  <c r="K75" i="9" s="1"/>
  <c r="N75" i="9" s="1"/>
  <c r="N72" i="8"/>
  <c r="B73" i="8"/>
  <c r="K73" i="8" s="1"/>
  <c r="K150" i="9" l="1"/>
  <c r="N150" i="9" s="1"/>
  <c r="B72" i="1"/>
  <c r="K72" i="1" s="1"/>
  <c r="N72" i="1" s="1"/>
  <c r="B95" i="8"/>
  <c r="K95" i="8" s="1"/>
  <c r="N95" i="8" s="1"/>
  <c r="B76" i="9"/>
  <c r="K76" i="9" s="1"/>
  <c r="N73" i="8"/>
  <c r="B74" i="8"/>
  <c r="K74" i="8" s="1"/>
  <c r="K149" i="9" l="1"/>
  <c r="N149" i="9" s="1"/>
  <c r="B73" i="1"/>
  <c r="K73" i="1" s="1"/>
  <c r="N73" i="1" s="1"/>
  <c r="N76" i="9"/>
  <c r="B77" i="9"/>
  <c r="K77" i="9" s="1"/>
  <c r="N74" i="8"/>
  <c r="B75" i="8"/>
  <c r="K75" i="8" s="1"/>
  <c r="N75" i="8" s="1"/>
  <c r="K148" i="9" l="1"/>
  <c r="N148" i="9" s="1"/>
  <c r="N77" i="9"/>
  <c r="K79" i="9"/>
  <c r="B76" i="8"/>
  <c r="K76" i="8" s="1"/>
  <c r="K147" i="9" l="1"/>
  <c r="N147" i="9" s="1"/>
  <c r="N76" i="8"/>
  <c r="K78" i="8"/>
  <c r="K146" i="9" l="1"/>
  <c r="N146" i="9" l="1"/>
  <c r="N168" i="9" s="1"/>
</calcChain>
</file>

<file path=xl/sharedStrings.xml><?xml version="1.0" encoding="utf-8"?>
<sst xmlns="http://schemas.openxmlformats.org/spreadsheetml/2006/main" count="737" uniqueCount="107">
  <si>
    <t>REAL ESTATE</t>
  </si>
  <si>
    <t>BEG BAL</t>
  </si>
  <si>
    <t>COMMITMENTS</t>
  </si>
  <si>
    <t>PAYMENTS</t>
  </si>
  <si>
    <t>REFUNDS</t>
  </si>
  <si>
    <t>ABATEMENTS</t>
  </si>
  <si>
    <t>ADJUSTMENTS</t>
  </si>
  <si>
    <t>TAX TITLE</t>
  </si>
  <si>
    <t>ENDING BALANCE</t>
  </si>
  <si>
    <t>GL</t>
  </si>
  <si>
    <t>TAX MODULE</t>
  </si>
  <si>
    <t>FY 2020 LEVY</t>
  </si>
  <si>
    <t>PMT REVERSAL</t>
  </si>
  <si>
    <t>EXEMPTION</t>
  </si>
  <si>
    <t>VARIANCE</t>
  </si>
  <si>
    <t>01-000-1220-202000</t>
  </si>
  <si>
    <t>TOTALS</t>
  </si>
  <si>
    <t>FY 2019 LEVY</t>
  </si>
  <si>
    <t>PERSONAL PROPERTY</t>
  </si>
  <si>
    <t>+</t>
  </si>
  <si>
    <t>-</t>
  </si>
  <si>
    <t>+/-</t>
  </si>
  <si>
    <t>01-000-1210-202000</t>
  </si>
  <si>
    <t>MOTOR VEHICLE EXCISE</t>
  </si>
  <si>
    <t>01-000-1260-202000</t>
  </si>
  <si>
    <t>01-000-1240-000000</t>
  </si>
  <si>
    <t>01-000-1210-201900</t>
  </si>
  <si>
    <t>FY 2018 LEVY</t>
  </si>
  <si>
    <t>FY 2017 LEVY</t>
  </si>
  <si>
    <t>01-000-1210-201800</t>
  </si>
  <si>
    <t>01-000-1210-201700</t>
  </si>
  <si>
    <t>01-000-1220-201900</t>
  </si>
  <si>
    <t>01-000-1220-201800</t>
  </si>
  <si>
    <t>01-000-1220-201700</t>
  </si>
  <si>
    <t>01-000-1260-201900</t>
  </si>
  <si>
    <t>01-000-1260-201800</t>
  </si>
  <si>
    <t>01-000-1260-201700</t>
  </si>
  <si>
    <t>TAKINGS</t>
  </si>
  <si>
    <t>FORECLOSURE</t>
  </si>
  <si>
    <t>CERTIFICATIONS</t>
  </si>
  <si>
    <t>FY 2021 LEVY</t>
  </si>
  <si>
    <t>01-000-1210-202100</t>
  </si>
  <si>
    <t>01-000-1220-202100</t>
  </si>
  <si>
    <t>01-000-1260-202100</t>
  </si>
  <si>
    <t>FY 2022 Levy</t>
  </si>
  <si>
    <t>01-000-1220-202200</t>
  </si>
  <si>
    <t>01-000-1210-202200</t>
  </si>
  <si>
    <t>01-000-1260-202200</t>
  </si>
  <si>
    <t>FY 2023 Levy</t>
  </si>
  <si>
    <t>01-000-1210-202300</t>
  </si>
  <si>
    <t>01-000-1220-202300</t>
  </si>
  <si>
    <t>Timing variance, refund hits in August</t>
  </si>
  <si>
    <t>01-000-1260-202300</t>
  </si>
  <si>
    <t>Ending Variance</t>
  </si>
  <si>
    <t>old variance</t>
  </si>
  <si>
    <t>Old Levy's no activity</t>
  </si>
  <si>
    <t>1996-2016</t>
  </si>
  <si>
    <t>refund void not in collectors</t>
  </si>
  <si>
    <t>01-000-1225-201900</t>
  </si>
  <si>
    <t>1995-2016</t>
  </si>
  <si>
    <t>1995-2016 Levys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</si>
  <si>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</si>
  <si>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</si>
  <si>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</si>
  <si>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</si>
  <si>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</si>
  <si>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</si>
  <si>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</si>
  <si>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</si>
  <si>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</si>
  <si>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</si>
  <si>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</si>
  <si>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</si>
  <si>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</si>
  <si>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</si>
  <si>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</si>
  <si>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</si>
  <si>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</si>
  <si>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</si>
  <si>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</si>
  <si>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</si>
  <si>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</si>
  <si>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01-000-1260-201600 to 199600</t>
  </si>
  <si>
    <t xml:space="preserve">FY22 refund ?? HUSSAR ANDREW + KAREN </t>
  </si>
  <si>
    <t>23.02/23-571</t>
  </si>
  <si>
    <t>CB23.47-08</t>
  </si>
  <si>
    <t>rec not posted</t>
  </si>
  <si>
    <t>CB23.47-08 posted doesn’t tie</t>
  </si>
  <si>
    <t>BOAT EXCISE</t>
  </si>
  <si>
    <t>1995</t>
  </si>
  <si>
    <t>1989</t>
  </si>
  <si>
    <t>2017</t>
  </si>
  <si>
    <t>2021</t>
  </si>
  <si>
    <t>2020</t>
  </si>
  <si>
    <t>2019</t>
  </si>
  <si>
    <t>2018</t>
  </si>
  <si>
    <t>2022</t>
  </si>
  <si>
    <t>2023</t>
  </si>
  <si>
    <t>01-000-1270-xxxx</t>
  </si>
  <si>
    <t>By levy Year</t>
  </si>
  <si>
    <t>All years</t>
  </si>
  <si>
    <t>not in vadar</t>
  </si>
  <si>
    <t>Tax Deferral</t>
  </si>
  <si>
    <t>01-000-1242-000000</t>
  </si>
  <si>
    <t>write-off not booked</t>
  </si>
  <si>
    <t>receipt variance</t>
  </si>
  <si>
    <t>Old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</si>
</sst>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6EEF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4" fontId="0" fillId="0" borderId="0" xfId="0" applyNumberFormat="1"/>
    <xf numFmtId="43" fontId="0" fillId="0" borderId="0" xfId="1" applyFont="1"/>
    <xf numFmtId="0" fontId="0" fillId="0" borderId="1" xfId="0" applyBorder="1"/>
    <xf numFmtId="43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3" fontId="0" fillId="0" borderId="2" xfId="1" applyFont="1" applyBorder="1"/>
    <xf numFmtId="43" fontId="0" fillId="0" borderId="0" xfId="1" applyFont="1" applyFill="1"/>
    <xf numFmtId="0" fontId="0" fillId="0" borderId="0" xfId="0" quotePrefix="1" applyAlignment="1">
      <alignment horizontal="center"/>
    </xf>
    <xf numFmtId="43" fontId="0" fillId="0" borderId="0" xfId="1" applyFont="1" applyBorder="1"/>
    <xf numFmtId="0" fontId="4" fillId="0" borderId="0" xfId="0" applyFont="1"/>
    <xf numFmtId="43" fontId="4" fillId="0" borderId="0" xfId="1" applyFont="1" applyFill="1"/>
    <xf numFmtId="43" fontId="4" fillId="3" borderId="0" xfId="0" applyNumberFormat="1" applyFont="1" applyFill="1"/>
    <xf numFmtId="43" fontId="0" fillId="3" borderId="0" xfId="1" applyFont="1" applyFill="1"/>
    <xf numFmtId="43" fontId="4" fillId="3" borderId="0" xfId="1" applyFont="1" applyFill="1"/>
    <xf numFmtId="0" fontId="0" fillId="0" borderId="0" xfId="0" applyAlignment="1">
      <alignment horizontal="right"/>
    </xf>
    <xf numFmtId="43" fontId="0" fillId="0" borderId="2" xfId="1" applyFont="1" applyFill="1" applyBorder="1"/>
    <xf numFmtId="43" fontId="4" fillId="0" borderId="0" xfId="0" applyNumberFormat="1" applyFont="1"/>
    <xf numFmtId="43" fontId="0" fillId="0" borderId="0" xfId="1" applyFont="1" applyFill="1" applyBorder="1"/>
    <xf numFmtId="0" fontId="0" fillId="0" borderId="0" xfId="0" applyAlignment="1">
      <alignment horizontal="center" vertical="center"/>
    </xf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7" fillId="0" borderId="0" xfId="0" applyFont="1"/>
    <xf numFmtId="43" fontId="8" fillId="0" borderId="0" xfId="1" applyFont="1" applyFill="1"/>
    <xf numFmtId="43" fontId="7" fillId="0" borderId="0" xfId="0" applyNumberFormat="1" applyFont="1"/>
    <xf numFmtId="43" fontId="0" fillId="0" borderId="0" xfId="0" applyNumberFormat="1" applyAlignment="1">
      <alignment horizontal="right"/>
    </xf>
    <xf numFmtId="43" fontId="7" fillId="0" borderId="0" xfId="1" applyFont="1" applyFill="1"/>
    <xf numFmtId="43" fontId="0" fillId="0" borderId="0" xfId="1" applyFont="1" applyFill="1" applyAlignment="1">
      <alignment horizontal="center" vertical="center"/>
    </xf>
    <xf numFmtId="43" fontId="0" fillId="0" borderId="1" xfId="1" applyFont="1" applyFill="1" applyBorder="1" applyAlignment="1">
      <alignment horizontal="center"/>
    </xf>
    <xf numFmtId="0" fontId="0" fillId="4" borderId="0" xfId="0" applyFill="1"/>
    <xf numFmtId="0" fontId="4" fillId="5" borderId="0" xfId="0" applyFont="1" applyFill="1" applyAlignment="1">
      <alignment horizontal="center" vertical="center"/>
    </xf>
    <xf numFmtId="43" fontId="0" fillId="0" borderId="0" xfId="1" applyFont="1" applyFill="1" applyBorder="1" applyAlignment="1">
      <alignment horizontal="center"/>
    </xf>
    <xf numFmtId="43" fontId="9" fillId="0" borderId="0" xfId="0" applyNumberFormat="1" applyFont="1"/>
    <xf numFmtId="0" fontId="9" fillId="0" borderId="0" xfId="0" applyFont="1"/>
    <xf numFmtId="43" fontId="9" fillId="0" borderId="0" xfId="1" applyFont="1" applyFill="1"/>
    <xf numFmtId="43" fontId="0" fillId="6" borderId="0" xfId="1" applyFont="1" applyFill="1"/>
    <xf numFmtId="0" fontId="10" fillId="0" borderId="0" xfId="0" applyFont="1"/>
    <xf numFmtId="43" fontId="11" fillId="0" borderId="0" xfId="0" applyNumberFormat="1" applyFont="1"/>
    <xf numFmtId="14" fontId="0" fillId="0" borderId="0" xfId="0" quotePrefix="1" applyNumberFormat="1"/>
    <xf numFmtId="43" fontId="0" fillId="2" borderId="0" xfId="1" applyFont="1" applyFill="1"/>
    <xf numFmtId="43" fontId="0" fillId="7" borderId="0" xfId="1" applyFont="1" applyFill="1"/>
    <xf numFmtId="14" fontId="0" fillId="0" borderId="0" xfId="0" applyNumberFormat="1" applyAlignment="1">
      <alignment horizontal="right"/>
    </xf>
    <xf numFmtId="0" fontId="0" fillId="0" borderId="0" xfId="0" applyFill="1"/>
    <xf numFmtId="43" fontId="0" fillId="0" borderId="0" xfId="0" applyNumberFormat="1" applyFill="1"/>
    <xf numFmtId="0" fontId="4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3" fontId="0" fillId="0" borderId="0" xfId="0" applyNumberFormat="1" applyFill="1" applyAlignment="1">
      <alignment horizontal="right"/>
    </xf>
    <xf numFmtId="0" fontId="0" fillId="0" borderId="0" xfId="0" quotePrefix="1" applyFill="1" applyAlignment="1">
      <alignment horizontal="center"/>
    </xf>
    <xf numFmtId="0" fontId="0" fillId="0" borderId="0" xfId="0" applyFill="1" applyAlignment="1">
      <alignment horizontal="center"/>
    </xf>
    <xf numFmtId="43" fontId="8" fillId="0" borderId="2" xfId="1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4" fontId="0" fillId="0" borderId="0" xfId="3" applyFont="1" applyFill="1"/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99FF"/>
      <color rgb="FFA6EEF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O158"/>
  <sheetViews>
    <sheetView tabSelected="1" zoomScaleNormal="100" workbookViewId="0">
      <pane ySplit="2" topLeftCell="A3" activePane="bottomLeft" state="frozen"/>
      <selection activeCell="O26" sqref="O26:P26"/>
      <selection pane="bottomLeft" activeCell="F12" sqref="F12"/>
    </sheetView>
  </sheetViews>
  <sheetFormatPr defaultRowHeight="14.4" x14ac:dyDescent="0.3"/>
  <cols>
    <col min="1" max="1" width="14" customWidth="1"/>
    <col min="2" max="2" width="14.5546875" bestFit="1" customWidth="1"/>
    <col min="3" max="3" width="14.44140625" style="44" bestFit="1" customWidth="1"/>
    <col min="4" max="4" width="14.5546875" style="44" bestFit="1" customWidth="1"/>
    <col min="5" max="5" width="13.88671875" style="44" customWidth="1"/>
    <col min="6" max="6" width="11.109375" style="44" bestFit="1" customWidth="1"/>
    <col min="7" max="7" width="13.6640625" style="44" customWidth="1"/>
    <col min="8" max="8" width="11.88671875" style="44" customWidth="1"/>
    <col min="9" max="9" width="13" style="44" customWidth="1"/>
    <col min="10" max="10" width="9" bestFit="1" customWidth="1"/>
    <col min="11" max="11" width="16.33203125" bestFit="1" customWidth="1"/>
    <col min="12" max="12" width="3.88671875" customWidth="1"/>
    <col min="13" max="13" width="20" bestFit="1" customWidth="1"/>
    <col min="14" max="14" width="14.5546875" bestFit="1" customWidth="1"/>
    <col min="15" max="15" width="12.33203125" bestFit="1" customWidth="1"/>
    <col min="16" max="16" width="19" bestFit="1" customWidth="1"/>
    <col min="17" max="17" width="11.21875" bestFit="1" customWidth="1"/>
  </cols>
  <sheetData>
    <row r="2" spans="1:14" ht="15.6" x14ac:dyDescent="0.3">
      <c r="A2" s="22" t="s">
        <v>18</v>
      </c>
    </row>
    <row r="3" spans="1:14" ht="18" x14ac:dyDescent="0.3">
      <c r="A3" s="23">
        <v>2023</v>
      </c>
    </row>
    <row r="4" spans="1:14" x14ac:dyDescent="0.3">
      <c r="A4" s="32" t="s">
        <v>48</v>
      </c>
      <c r="M4" s="31" t="s">
        <v>49</v>
      </c>
    </row>
    <row r="5" spans="1:14" x14ac:dyDescent="0.3">
      <c r="C5" s="51" t="s">
        <v>19</v>
      </c>
      <c r="D5" s="51" t="s">
        <v>20</v>
      </c>
      <c r="E5" s="51" t="s">
        <v>19</v>
      </c>
      <c r="F5" s="51" t="s">
        <v>19</v>
      </c>
      <c r="G5" s="51" t="s">
        <v>20</v>
      </c>
      <c r="H5" s="51" t="s">
        <v>20</v>
      </c>
      <c r="I5" s="51" t="s">
        <v>21</v>
      </c>
      <c r="J5" s="10" t="s">
        <v>20</v>
      </c>
      <c r="K5" s="7" t="s">
        <v>10</v>
      </c>
      <c r="L5" s="7"/>
      <c r="M5" s="7" t="s">
        <v>9</v>
      </c>
    </row>
    <row r="6" spans="1:14" x14ac:dyDescent="0.3">
      <c r="B6" s="4" t="s">
        <v>1</v>
      </c>
      <c r="C6" s="49" t="s">
        <v>2</v>
      </c>
      <c r="D6" s="49" t="s">
        <v>3</v>
      </c>
      <c r="E6" s="49" t="s">
        <v>12</v>
      </c>
      <c r="F6" s="49" t="s">
        <v>4</v>
      </c>
      <c r="G6" s="49" t="s">
        <v>5</v>
      </c>
      <c r="H6" s="49" t="s">
        <v>13</v>
      </c>
      <c r="I6" s="49" t="s">
        <v>6</v>
      </c>
      <c r="J6" s="6" t="s">
        <v>7</v>
      </c>
      <c r="K6" s="6" t="s">
        <v>8</v>
      </c>
      <c r="L6" s="7"/>
      <c r="M6" s="6" t="s">
        <v>8</v>
      </c>
      <c r="N6" s="6" t="s">
        <v>14</v>
      </c>
    </row>
    <row r="7" spans="1:14" x14ac:dyDescent="0.3">
      <c r="A7" s="2">
        <v>44773</v>
      </c>
      <c r="B7" s="3">
        <v>0</v>
      </c>
      <c r="C7" s="9">
        <v>201384.22</v>
      </c>
      <c r="D7" s="9">
        <v>-254139.87</v>
      </c>
      <c r="E7" s="9"/>
      <c r="F7" s="9"/>
      <c r="G7" s="9"/>
      <c r="H7" s="9"/>
      <c r="I7" s="9"/>
      <c r="J7" s="9"/>
      <c r="K7" s="9">
        <f>SUM(B7:J7)</f>
        <v>-52755.649999999994</v>
      </c>
      <c r="M7" s="9">
        <v>-6243.7</v>
      </c>
      <c r="N7" s="9">
        <f t="shared" ref="N7:N18" si="0">+K7-M7</f>
        <v>-46511.95</v>
      </c>
    </row>
    <row r="8" spans="1:14" x14ac:dyDescent="0.3">
      <c r="A8" s="2">
        <f>+A7+31</f>
        <v>44804</v>
      </c>
      <c r="B8" s="3">
        <f>+K7</f>
        <v>-52755.649999999994</v>
      </c>
      <c r="C8" s="9"/>
      <c r="D8" s="9">
        <v>-1972.19</v>
      </c>
      <c r="E8" s="9"/>
      <c r="F8" s="9"/>
      <c r="G8" s="9"/>
      <c r="H8" s="9"/>
      <c r="I8" s="9"/>
      <c r="J8" s="9"/>
      <c r="K8" s="9">
        <f>SUM(B8:J8)</f>
        <v>-54727.839999999997</v>
      </c>
      <c r="M8" s="9">
        <f>+M7-241888.01</f>
        <v>-248131.71000000002</v>
      </c>
      <c r="N8" s="9">
        <f>+K8-M8</f>
        <v>193403.87000000002</v>
      </c>
    </row>
    <row r="9" spans="1:14" x14ac:dyDescent="0.3">
      <c r="A9" s="2">
        <f>+A8+30</f>
        <v>44834</v>
      </c>
      <c r="B9" s="3">
        <f t="shared" ref="B9:B18" si="1">+K8</f>
        <v>-54727.839999999997</v>
      </c>
      <c r="C9" s="9"/>
      <c r="D9" s="9">
        <v>-333.67</v>
      </c>
      <c r="E9" s="9"/>
      <c r="F9" s="9"/>
      <c r="G9" s="9"/>
      <c r="H9" s="9"/>
      <c r="I9" s="9"/>
      <c r="J9" s="9"/>
      <c r="K9" s="9">
        <f t="shared" ref="K9:K18" si="2">SUM(B9:J9)</f>
        <v>-55061.509999999995</v>
      </c>
      <c r="M9" s="9">
        <f>+M8-667.34</f>
        <v>-248799.05000000002</v>
      </c>
      <c r="N9" s="9">
        <f t="shared" si="0"/>
        <v>193737.54000000004</v>
      </c>
    </row>
    <row r="10" spans="1:14" x14ac:dyDescent="0.3">
      <c r="A10" s="2">
        <f t="shared" ref="A10:A17" si="3">+A9+31</f>
        <v>44865</v>
      </c>
      <c r="B10" s="3">
        <f t="shared" si="1"/>
        <v>-55061.509999999995</v>
      </c>
      <c r="C10" s="9">
        <v>198888.64</v>
      </c>
      <c r="D10" s="9">
        <v>-122154.11</v>
      </c>
      <c r="E10" s="9"/>
      <c r="F10" s="9"/>
      <c r="G10" s="9"/>
      <c r="H10" s="9"/>
      <c r="I10" s="9"/>
      <c r="J10" s="9"/>
      <c r="K10" s="9">
        <f t="shared" si="2"/>
        <v>21673.020000000004</v>
      </c>
      <c r="M10" s="9">
        <f>+M9-244308.22</f>
        <v>-493107.27</v>
      </c>
      <c r="N10" s="9">
        <f t="shared" si="0"/>
        <v>514780.29000000004</v>
      </c>
    </row>
    <row r="11" spans="1:14" x14ac:dyDescent="0.3">
      <c r="A11" s="2">
        <f>+A10+30</f>
        <v>44895</v>
      </c>
      <c r="B11" s="3">
        <f t="shared" si="1"/>
        <v>21673.020000000004</v>
      </c>
      <c r="C11" s="9"/>
      <c r="D11" s="9">
        <v>-6214.97</v>
      </c>
      <c r="E11" s="9"/>
      <c r="F11" s="9"/>
      <c r="G11" s="9"/>
      <c r="H11" s="9"/>
      <c r="I11" s="9"/>
      <c r="J11" s="9"/>
      <c r="K11" s="9">
        <f t="shared" si="2"/>
        <v>15458.050000000003</v>
      </c>
      <c r="M11" s="9">
        <f>+M10-21186.59</f>
        <v>-514293.86000000004</v>
      </c>
      <c r="N11" s="9">
        <f t="shared" si="0"/>
        <v>529751.91</v>
      </c>
    </row>
    <row r="12" spans="1:14" x14ac:dyDescent="0.3">
      <c r="A12" s="2">
        <f t="shared" si="3"/>
        <v>44926</v>
      </c>
      <c r="B12" s="3">
        <f t="shared" si="1"/>
        <v>15458.050000000003</v>
      </c>
      <c r="C12" s="9"/>
      <c r="D12" s="9">
        <v>0</v>
      </c>
      <c r="E12" s="9"/>
      <c r="F12" s="9"/>
      <c r="G12" s="9"/>
      <c r="H12" s="9"/>
      <c r="I12" s="9"/>
      <c r="J12" s="9"/>
      <c r="K12" s="9">
        <f t="shared" si="2"/>
        <v>15458.050000000003</v>
      </c>
      <c r="M12" s="9">
        <f>+M11+760131.17</f>
        <v>245837.31</v>
      </c>
      <c r="N12" s="9">
        <f t="shared" si="0"/>
        <v>-230379.26</v>
      </c>
    </row>
    <row r="13" spans="1:14" x14ac:dyDescent="0.3">
      <c r="A13" s="2">
        <f t="shared" si="3"/>
        <v>44957</v>
      </c>
      <c r="B13" s="3">
        <f t="shared" si="1"/>
        <v>15458.050000000003</v>
      </c>
      <c r="C13" s="9">
        <v>180507.8</v>
      </c>
      <c r="D13" s="9">
        <v>-229700.34</v>
      </c>
      <c r="E13" s="9"/>
      <c r="F13" s="9"/>
      <c r="G13" s="9"/>
      <c r="H13" s="9"/>
      <c r="I13" s="9"/>
      <c r="J13" s="9"/>
      <c r="K13" s="9">
        <f t="shared" si="2"/>
        <v>-33734.49000000002</v>
      </c>
      <c r="M13" s="9">
        <f>+M12-340632.21</f>
        <v>-94794.900000000023</v>
      </c>
      <c r="N13" s="9">
        <f t="shared" si="0"/>
        <v>61060.41</v>
      </c>
    </row>
    <row r="14" spans="1:14" x14ac:dyDescent="0.3">
      <c r="A14" s="2">
        <f>+A13+28</f>
        <v>44985</v>
      </c>
      <c r="B14" s="3">
        <f t="shared" si="1"/>
        <v>-33734.49000000002</v>
      </c>
      <c r="C14" s="9">
        <v>506.64</v>
      </c>
      <c r="D14" s="9">
        <v>-597.82000000000005</v>
      </c>
      <c r="E14" s="9"/>
      <c r="F14" s="9"/>
      <c r="G14" s="9">
        <v>-2486.7600000000002</v>
      </c>
      <c r="H14" s="9"/>
      <c r="I14" s="9"/>
      <c r="J14" s="9"/>
      <c r="K14" s="9">
        <f t="shared" si="2"/>
        <v>-36312.430000000022</v>
      </c>
      <c r="M14" s="9">
        <f>+M13-119964.11</f>
        <v>-214759.01</v>
      </c>
      <c r="N14" s="9">
        <f t="shared" si="0"/>
        <v>178446.58</v>
      </c>
    </row>
    <row r="15" spans="1:14" x14ac:dyDescent="0.3">
      <c r="A15" s="2">
        <f t="shared" si="3"/>
        <v>45016</v>
      </c>
      <c r="B15" s="3">
        <f t="shared" si="1"/>
        <v>-36312.430000000022</v>
      </c>
      <c r="C15" s="9"/>
      <c r="D15" s="9">
        <v>-28.18</v>
      </c>
      <c r="E15" s="9"/>
      <c r="F15" s="9"/>
      <c r="G15" s="9"/>
      <c r="H15" s="9"/>
      <c r="I15" s="9"/>
      <c r="J15" s="9"/>
      <c r="K15" s="9">
        <f t="shared" si="2"/>
        <v>-36340.610000000022</v>
      </c>
      <c r="M15" s="9">
        <f>+M14-56.36</f>
        <v>-214815.37</v>
      </c>
      <c r="N15" s="9">
        <f t="shared" si="0"/>
        <v>178474.75999999998</v>
      </c>
    </row>
    <row r="16" spans="1:14" x14ac:dyDescent="0.3">
      <c r="A16" s="2">
        <f>+A15+30</f>
        <v>45046</v>
      </c>
      <c r="B16" s="3">
        <f t="shared" si="1"/>
        <v>-36340.610000000022</v>
      </c>
      <c r="C16" s="9">
        <v>179593.86</v>
      </c>
      <c r="D16" s="9">
        <v>-32388.94</v>
      </c>
      <c r="E16" s="9"/>
      <c r="F16" s="9"/>
      <c r="G16" s="9"/>
      <c r="H16" s="9"/>
      <c r="I16" s="9"/>
      <c r="J16" s="9"/>
      <c r="K16" s="9">
        <f t="shared" si="2"/>
        <v>110864.30999999997</v>
      </c>
      <c r="M16" s="9">
        <f>+M15-64777.88</f>
        <v>-279593.25</v>
      </c>
      <c r="N16" s="9">
        <f t="shared" si="0"/>
        <v>390457.55999999994</v>
      </c>
    </row>
    <row r="17" spans="1:14" x14ac:dyDescent="0.3">
      <c r="A17" s="2">
        <f t="shared" si="3"/>
        <v>45077</v>
      </c>
      <c r="B17" s="3">
        <f t="shared" si="1"/>
        <v>110864.30999999997</v>
      </c>
      <c r="C17" s="9"/>
      <c r="D17" s="9">
        <v>-110321.07</v>
      </c>
      <c r="E17" s="9"/>
      <c r="F17" s="9">
        <v>1211.56</v>
      </c>
      <c r="G17" s="9"/>
      <c r="H17" s="9"/>
      <c r="I17" s="9">
        <v>5.41</v>
      </c>
      <c r="J17" s="9"/>
      <c r="K17" s="9">
        <f>SUM(B17:J17)</f>
        <v>1760.2099999999616</v>
      </c>
      <c r="M17" s="9">
        <f>+M16-220476.25</f>
        <v>-500069.5</v>
      </c>
      <c r="N17" s="9">
        <f t="shared" si="0"/>
        <v>501829.70999999996</v>
      </c>
    </row>
    <row r="18" spans="1:14" x14ac:dyDescent="0.3">
      <c r="A18" s="2">
        <f>+A17+30</f>
        <v>45107</v>
      </c>
      <c r="B18" s="3">
        <f t="shared" si="1"/>
        <v>1760.2099999999616</v>
      </c>
      <c r="C18" s="9"/>
      <c r="D18" s="25">
        <v>-715.86</v>
      </c>
      <c r="E18" s="25"/>
      <c r="F18" s="25"/>
      <c r="G18" s="25">
        <f>-2247.33+2486.76</f>
        <v>239.43000000000029</v>
      </c>
      <c r="H18" s="25"/>
      <c r="I18" s="25"/>
      <c r="J18" s="9"/>
      <c r="K18" s="9">
        <f t="shared" si="2"/>
        <v>1283.779999999962</v>
      </c>
      <c r="M18" s="9">
        <v>1283.78</v>
      </c>
      <c r="N18" s="16">
        <f t="shared" si="0"/>
        <v>-3.7971403799019754E-11</v>
      </c>
    </row>
    <row r="19" spans="1:14" x14ac:dyDescent="0.3">
      <c r="B19" s="3"/>
      <c r="C19" s="9"/>
      <c r="D19" s="9"/>
      <c r="E19" s="9"/>
      <c r="F19" s="9"/>
      <c r="G19" s="9"/>
      <c r="H19" s="9"/>
      <c r="I19" s="9"/>
      <c r="J19" s="9"/>
      <c r="K19" s="9"/>
    </row>
    <row r="20" spans="1:14" ht="15" thickBot="1" x14ac:dyDescent="0.35">
      <c r="A20" t="s">
        <v>16</v>
      </c>
      <c r="B20" s="3"/>
      <c r="C20" s="18">
        <f>SUM(C7:C18)</f>
        <v>760881.15999999992</v>
      </c>
      <c r="D20" s="18">
        <f t="shared" ref="D20:J20" si="4">SUM(D7:D18)</f>
        <v>-758567.0199999999</v>
      </c>
      <c r="E20" s="18">
        <f t="shared" si="4"/>
        <v>0</v>
      </c>
      <c r="F20" s="18">
        <f t="shared" si="4"/>
        <v>1211.56</v>
      </c>
      <c r="G20" s="18">
        <f t="shared" si="4"/>
        <v>-2247.33</v>
      </c>
      <c r="H20" s="18">
        <f t="shared" si="4"/>
        <v>0</v>
      </c>
      <c r="I20" s="18">
        <f t="shared" si="4"/>
        <v>5.41</v>
      </c>
      <c r="J20" s="18">
        <f t="shared" si="4"/>
        <v>0</v>
      </c>
      <c r="K20" s="18">
        <f>SUM(B20:J20)</f>
        <v>1283.7800000000141</v>
      </c>
      <c r="N20" s="5"/>
    </row>
    <row r="21" spans="1:14" ht="15" thickTop="1" x14ac:dyDescent="0.3">
      <c r="B21" s="9"/>
      <c r="C21" s="20"/>
      <c r="D21" s="20"/>
      <c r="E21" s="20"/>
      <c r="F21" s="20"/>
      <c r="G21" s="20"/>
      <c r="H21" s="20"/>
      <c r="I21" s="20"/>
      <c r="J21" s="20"/>
      <c r="K21" s="20"/>
      <c r="N21" s="5"/>
    </row>
    <row r="22" spans="1:14" x14ac:dyDescent="0.3">
      <c r="C22" s="45"/>
    </row>
    <row r="23" spans="1:14" ht="18" x14ac:dyDescent="0.3">
      <c r="A23" s="23">
        <v>2022</v>
      </c>
    </row>
    <row r="24" spans="1:14" x14ac:dyDescent="0.3">
      <c r="A24" s="32" t="s">
        <v>44</v>
      </c>
      <c r="M24" s="31" t="s">
        <v>46</v>
      </c>
    </row>
    <row r="25" spans="1:14" x14ac:dyDescent="0.3">
      <c r="C25" s="51" t="s">
        <v>19</v>
      </c>
      <c r="D25" s="51" t="s">
        <v>20</v>
      </c>
      <c r="E25" s="51" t="s">
        <v>19</v>
      </c>
      <c r="F25" s="51" t="s">
        <v>19</v>
      </c>
      <c r="G25" s="51" t="s">
        <v>20</v>
      </c>
      <c r="H25" s="51" t="s">
        <v>20</v>
      </c>
      <c r="I25" s="51" t="s">
        <v>21</v>
      </c>
      <c r="J25" s="10" t="s">
        <v>20</v>
      </c>
      <c r="K25" s="7" t="s">
        <v>10</v>
      </c>
      <c r="L25" s="7"/>
      <c r="M25" s="7" t="s">
        <v>9</v>
      </c>
    </row>
    <row r="26" spans="1:14" x14ac:dyDescent="0.3">
      <c r="B26" s="4" t="s">
        <v>1</v>
      </c>
      <c r="C26" s="49" t="s">
        <v>2</v>
      </c>
      <c r="D26" s="49" t="s">
        <v>3</v>
      </c>
      <c r="E26" s="49" t="s">
        <v>12</v>
      </c>
      <c r="F26" s="49" t="s">
        <v>4</v>
      </c>
      <c r="G26" s="49" t="s">
        <v>5</v>
      </c>
      <c r="H26" s="49" t="s">
        <v>13</v>
      </c>
      <c r="I26" s="49" t="s">
        <v>6</v>
      </c>
      <c r="J26" s="6" t="s">
        <v>7</v>
      </c>
      <c r="K26" s="6" t="s">
        <v>8</v>
      </c>
      <c r="L26" s="7"/>
      <c r="M26" s="6" t="s">
        <v>8</v>
      </c>
      <c r="N26" s="6" t="s">
        <v>14</v>
      </c>
    </row>
    <row r="27" spans="1:14" x14ac:dyDescent="0.3">
      <c r="A27" s="2">
        <v>44408</v>
      </c>
      <c r="B27" s="3">
        <v>2303</v>
      </c>
      <c r="C27" s="9"/>
      <c r="D27" s="9">
        <v>32.18</v>
      </c>
      <c r="E27" s="9"/>
      <c r="F27" s="9"/>
      <c r="G27" s="9"/>
      <c r="H27" s="9"/>
      <c r="I27" s="9"/>
      <c r="J27" s="9"/>
      <c r="K27" s="9">
        <f>SUM(B27:J27)</f>
        <v>2335.1799999999998</v>
      </c>
      <c r="M27" s="9">
        <f>2486.22+32.18</f>
        <v>2518.3999999999996</v>
      </c>
      <c r="N27" s="9">
        <f t="shared" ref="N27:N38" si="5">+K27-M27</f>
        <v>-183.2199999999998</v>
      </c>
    </row>
    <row r="28" spans="1:14" x14ac:dyDescent="0.3">
      <c r="A28" s="2">
        <f>+A27+31</f>
        <v>44439</v>
      </c>
      <c r="B28" s="3">
        <f>+K27</f>
        <v>2335.1799999999998</v>
      </c>
      <c r="C28" s="9"/>
      <c r="D28" s="9">
        <v>-62.04</v>
      </c>
      <c r="E28" s="9"/>
      <c r="F28" s="9"/>
      <c r="G28" s="9"/>
      <c r="H28" s="9"/>
      <c r="I28" s="9"/>
      <c r="J28" s="9"/>
      <c r="K28" s="9">
        <f>SUM(B28:J28)</f>
        <v>2273.14</v>
      </c>
      <c r="M28" s="9">
        <f>+M27-62.04</f>
        <v>2456.3599999999997</v>
      </c>
      <c r="N28" s="9">
        <f t="shared" si="5"/>
        <v>-183.2199999999998</v>
      </c>
    </row>
    <row r="29" spans="1:14" x14ac:dyDescent="0.3">
      <c r="A29" s="2">
        <f>+A28+30</f>
        <v>44469</v>
      </c>
      <c r="B29" s="3">
        <f t="shared" ref="B29:B38" si="6">+K28</f>
        <v>2273.14</v>
      </c>
      <c r="C29" s="9"/>
      <c r="D29" s="9">
        <v>-77.180000000000007</v>
      </c>
      <c r="E29" s="9"/>
      <c r="F29" s="9"/>
      <c r="G29" s="9"/>
      <c r="H29" s="9"/>
      <c r="I29" s="9"/>
      <c r="J29" s="9"/>
      <c r="K29" s="9">
        <f t="shared" ref="K29:K38" si="7">SUM(B29:J29)</f>
        <v>2195.96</v>
      </c>
      <c r="M29" s="9">
        <f>+M28-77.18</f>
        <v>2379.1799999999998</v>
      </c>
      <c r="N29" s="9">
        <f t="shared" si="5"/>
        <v>-183.2199999999998</v>
      </c>
    </row>
    <row r="30" spans="1:14" x14ac:dyDescent="0.3">
      <c r="A30" s="2">
        <f t="shared" ref="A30:A37" si="8">+A29+31</f>
        <v>44500</v>
      </c>
      <c r="B30" s="3">
        <f t="shared" si="6"/>
        <v>2195.96</v>
      </c>
      <c r="C30" s="9"/>
      <c r="D30" s="9">
        <v>-34.880000000000003</v>
      </c>
      <c r="E30" s="9"/>
      <c r="F30" s="9"/>
      <c r="G30" s="9"/>
      <c r="H30" s="9"/>
      <c r="I30" s="9"/>
      <c r="J30" s="9"/>
      <c r="K30" s="9">
        <f t="shared" si="7"/>
        <v>2161.08</v>
      </c>
      <c r="M30" s="9">
        <f>+M29-34.88</f>
        <v>2344.2999999999997</v>
      </c>
      <c r="N30" s="9">
        <f t="shared" si="5"/>
        <v>-183.2199999999998</v>
      </c>
    </row>
    <row r="31" spans="1:14" x14ac:dyDescent="0.3">
      <c r="A31" s="2">
        <f>+A30+30</f>
        <v>44530</v>
      </c>
      <c r="B31" s="3">
        <f t="shared" si="6"/>
        <v>2161.08</v>
      </c>
      <c r="C31" s="9"/>
      <c r="D31" s="9">
        <v>0</v>
      </c>
      <c r="E31" s="9"/>
      <c r="F31" s="9"/>
      <c r="G31" s="9"/>
      <c r="H31" s="9"/>
      <c r="I31" s="9"/>
      <c r="J31" s="9"/>
      <c r="K31" s="9">
        <f t="shared" si="7"/>
        <v>2161.08</v>
      </c>
      <c r="M31" s="9">
        <f>+M30</f>
        <v>2344.2999999999997</v>
      </c>
      <c r="N31" s="9">
        <f t="shared" si="5"/>
        <v>-183.2199999999998</v>
      </c>
    </row>
    <row r="32" spans="1:14" x14ac:dyDescent="0.3">
      <c r="A32" s="2">
        <f t="shared" si="8"/>
        <v>44561</v>
      </c>
      <c r="B32" s="3">
        <f t="shared" si="6"/>
        <v>2161.08</v>
      </c>
      <c r="C32" s="9"/>
      <c r="D32" s="9">
        <v>-360.86</v>
      </c>
      <c r="E32" s="9"/>
      <c r="F32" s="9"/>
      <c r="G32" s="9"/>
      <c r="H32" s="9"/>
      <c r="I32" s="9"/>
      <c r="J32" s="9"/>
      <c r="K32" s="9">
        <f t="shared" si="7"/>
        <v>1800.2199999999998</v>
      </c>
      <c r="M32" s="9">
        <f>+M31-510.86</f>
        <v>1833.4399999999996</v>
      </c>
      <c r="N32" s="9">
        <f t="shared" si="5"/>
        <v>-33.2199999999998</v>
      </c>
    </row>
    <row r="33" spans="1:14" x14ac:dyDescent="0.3">
      <c r="A33" s="2">
        <f t="shared" si="8"/>
        <v>44592</v>
      </c>
      <c r="B33" s="3">
        <f t="shared" si="6"/>
        <v>1800.2199999999998</v>
      </c>
      <c r="C33" s="9"/>
      <c r="D33" s="9">
        <v>0</v>
      </c>
      <c r="E33" s="9"/>
      <c r="F33" s="9"/>
      <c r="G33" s="9"/>
      <c r="H33" s="9"/>
      <c r="I33" s="9"/>
      <c r="J33" s="9"/>
      <c r="K33" s="9">
        <f t="shared" si="7"/>
        <v>1800.2199999999998</v>
      </c>
      <c r="M33" s="9">
        <f>+M32-163</f>
        <v>1670.4399999999996</v>
      </c>
      <c r="N33" s="9">
        <f t="shared" si="5"/>
        <v>129.7800000000002</v>
      </c>
    </row>
    <row r="34" spans="1:14" x14ac:dyDescent="0.3">
      <c r="A34" s="2">
        <f>+A33+28</f>
        <v>44620</v>
      </c>
      <c r="B34" s="3">
        <f t="shared" si="6"/>
        <v>1800.2199999999998</v>
      </c>
      <c r="C34" s="9"/>
      <c r="D34" s="9">
        <v>0</v>
      </c>
      <c r="E34" s="9"/>
      <c r="F34" s="9"/>
      <c r="G34" s="9"/>
      <c r="H34" s="9"/>
      <c r="I34" s="9"/>
      <c r="J34" s="9"/>
      <c r="K34" s="9">
        <f t="shared" si="7"/>
        <v>1800.2199999999998</v>
      </c>
      <c r="M34" s="9">
        <f>+M33-103.83</f>
        <v>1566.6099999999997</v>
      </c>
      <c r="N34" s="9">
        <f t="shared" si="5"/>
        <v>233.61000000000013</v>
      </c>
    </row>
    <row r="35" spans="1:14" x14ac:dyDescent="0.3">
      <c r="A35" s="2">
        <f t="shared" si="8"/>
        <v>44651</v>
      </c>
      <c r="B35" s="3">
        <f t="shared" si="6"/>
        <v>1800.2199999999998</v>
      </c>
      <c r="C35" s="9"/>
      <c r="D35" s="9">
        <v>0</v>
      </c>
      <c r="E35" s="9"/>
      <c r="F35" s="9"/>
      <c r="G35" s="9"/>
      <c r="H35" s="9"/>
      <c r="I35" s="9"/>
      <c r="J35" s="9"/>
      <c r="K35" s="9">
        <f t="shared" si="7"/>
        <v>1800.2199999999998</v>
      </c>
      <c r="M35" s="9">
        <f>+M34-0</f>
        <v>1566.6099999999997</v>
      </c>
      <c r="N35" s="9">
        <f t="shared" si="5"/>
        <v>233.61000000000013</v>
      </c>
    </row>
    <row r="36" spans="1:14" x14ac:dyDescent="0.3">
      <c r="A36" s="2">
        <f>+A35+30</f>
        <v>44681</v>
      </c>
      <c r="B36" s="3">
        <f t="shared" si="6"/>
        <v>1800.2199999999998</v>
      </c>
      <c r="C36" s="9"/>
      <c r="D36" s="9">
        <v>0</v>
      </c>
      <c r="E36" s="9"/>
      <c r="F36" s="9"/>
      <c r="G36" s="9"/>
      <c r="H36" s="9"/>
      <c r="I36" s="9"/>
      <c r="J36" s="9"/>
      <c r="K36" s="9">
        <f t="shared" si="7"/>
        <v>1800.2199999999998</v>
      </c>
      <c r="M36" s="9">
        <f>+M35-25</f>
        <v>1541.6099999999997</v>
      </c>
      <c r="N36" s="9">
        <f t="shared" si="5"/>
        <v>258.61000000000013</v>
      </c>
    </row>
    <row r="37" spans="1:14" x14ac:dyDescent="0.3">
      <c r="A37" s="2">
        <f t="shared" si="8"/>
        <v>44712</v>
      </c>
      <c r="B37" s="3">
        <f t="shared" si="6"/>
        <v>1800.2199999999998</v>
      </c>
      <c r="C37" s="9"/>
      <c r="D37" s="9">
        <v>0</v>
      </c>
      <c r="E37" s="9"/>
      <c r="F37" s="9"/>
      <c r="G37" s="9"/>
      <c r="H37" s="9"/>
      <c r="I37" s="9">
        <v>2.66</v>
      </c>
      <c r="J37" s="9"/>
      <c r="K37" s="9">
        <f t="shared" si="7"/>
        <v>1802.8799999999999</v>
      </c>
      <c r="M37" s="9">
        <f>+M36-103.05</f>
        <v>1438.5599999999997</v>
      </c>
      <c r="N37" s="9">
        <f t="shared" si="5"/>
        <v>364.32000000000016</v>
      </c>
    </row>
    <row r="38" spans="1:14" x14ac:dyDescent="0.3">
      <c r="A38" s="2">
        <f>+A37+30</f>
        <v>44742</v>
      </c>
      <c r="B38" s="3">
        <f t="shared" si="6"/>
        <v>1802.8799999999999</v>
      </c>
      <c r="C38" s="9"/>
      <c r="D38" s="25">
        <v>0</v>
      </c>
      <c r="E38" s="25"/>
      <c r="F38" s="25"/>
      <c r="G38" s="25"/>
      <c r="H38" s="25"/>
      <c r="I38" s="25"/>
      <c r="J38" s="9"/>
      <c r="K38" s="9">
        <f t="shared" si="7"/>
        <v>1802.8799999999999</v>
      </c>
      <c r="M38" s="9">
        <v>1802.88</v>
      </c>
      <c r="N38" s="16">
        <f t="shared" si="5"/>
        <v>0</v>
      </c>
    </row>
    <row r="39" spans="1:14" x14ac:dyDescent="0.3">
      <c r="B39" s="3"/>
      <c r="C39" s="9"/>
      <c r="D39" s="9"/>
      <c r="E39" s="9"/>
      <c r="F39" s="9"/>
      <c r="G39" s="9"/>
      <c r="H39" s="9"/>
      <c r="I39" s="9"/>
      <c r="J39" s="9"/>
      <c r="K39" s="9"/>
    </row>
    <row r="40" spans="1:14" ht="15" thickBot="1" x14ac:dyDescent="0.35">
      <c r="A40" t="s">
        <v>16</v>
      </c>
      <c r="B40" s="3"/>
      <c r="C40" s="18">
        <f>SUM(C27:C38)</f>
        <v>0</v>
      </c>
      <c r="D40" s="18">
        <f t="shared" ref="D40:J40" si="9">SUM(D27:D38)</f>
        <v>-502.78000000000003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2.66</v>
      </c>
      <c r="J40" s="18">
        <f t="shared" si="9"/>
        <v>0</v>
      </c>
      <c r="K40" s="18">
        <f>+K38</f>
        <v>1802.8799999999999</v>
      </c>
      <c r="N40" s="5"/>
    </row>
    <row r="41" spans="1:14" ht="15" thickTop="1" x14ac:dyDescent="0.3">
      <c r="B41" s="9"/>
      <c r="C41" s="20"/>
      <c r="D41" s="20"/>
      <c r="E41" s="20"/>
      <c r="F41" s="20"/>
      <c r="G41" s="20"/>
      <c r="H41" s="20"/>
      <c r="I41" s="20"/>
      <c r="J41" s="20"/>
      <c r="K41" s="20"/>
      <c r="N41" s="5"/>
    </row>
    <row r="42" spans="1:14" ht="18" x14ac:dyDescent="0.3">
      <c r="A42" s="23">
        <v>2021</v>
      </c>
    </row>
    <row r="43" spans="1:14" x14ac:dyDescent="0.3">
      <c r="A43" s="32" t="s">
        <v>40</v>
      </c>
      <c r="M43" s="31" t="s">
        <v>41</v>
      </c>
    </row>
    <row r="44" spans="1:14" x14ac:dyDescent="0.3">
      <c r="C44" s="51" t="s">
        <v>19</v>
      </c>
      <c r="D44" s="51" t="s">
        <v>20</v>
      </c>
      <c r="E44" s="51" t="s">
        <v>19</v>
      </c>
      <c r="F44" s="51" t="s">
        <v>19</v>
      </c>
      <c r="G44" s="51" t="s">
        <v>20</v>
      </c>
      <c r="H44" s="51" t="s">
        <v>20</v>
      </c>
      <c r="I44" s="51" t="s">
        <v>21</v>
      </c>
      <c r="J44" s="10" t="s">
        <v>20</v>
      </c>
      <c r="K44" s="7" t="s">
        <v>10</v>
      </c>
      <c r="L44" s="7"/>
      <c r="M44" s="7" t="s">
        <v>9</v>
      </c>
    </row>
    <row r="45" spans="1:14" x14ac:dyDescent="0.3">
      <c r="B45" s="4" t="s">
        <v>1</v>
      </c>
      <c r="C45" s="49" t="s">
        <v>2</v>
      </c>
      <c r="D45" s="49" t="s">
        <v>3</v>
      </c>
      <c r="E45" s="49" t="s">
        <v>12</v>
      </c>
      <c r="F45" s="49" t="s">
        <v>4</v>
      </c>
      <c r="G45" s="49" t="s">
        <v>5</v>
      </c>
      <c r="H45" s="49" t="s">
        <v>13</v>
      </c>
      <c r="I45" s="49" t="s">
        <v>6</v>
      </c>
      <c r="J45" s="6" t="s">
        <v>7</v>
      </c>
      <c r="K45" s="6" t="s">
        <v>8</v>
      </c>
      <c r="L45" s="7"/>
      <c r="M45" s="6" t="s">
        <v>8</v>
      </c>
      <c r="N45" s="6" t="s">
        <v>14</v>
      </c>
    </row>
    <row r="46" spans="1:14" x14ac:dyDescent="0.3">
      <c r="A46" s="2">
        <v>44043</v>
      </c>
      <c r="B46" s="3">
        <v>8382.5399999999991</v>
      </c>
      <c r="C46" s="9"/>
      <c r="D46" s="9">
        <v>0</v>
      </c>
      <c r="E46" s="9"/>
      <c r="F46" s="9"/>
      <c r="G46" s="9"/>
      <c r="H46" s="9"/>
      <c r="I46" s="9"/>
      <c r="J46" s="9"/>
      <c r="K46" s="9">
        <f>SUM(B46:J46)</f>
        <v>8382.5399999999991</v>
      </c>
      <c r="M46" s="9">
        <v>8382.5400000000009</v>
      </c>
      <c r="N46" s="9">
        <f t="shared" ref="N46:N57" si="10">+K46-M46</f>
        <v>0</v>
      </c>
    </row>
    <row r="47" spans="1:14" x14ac:dyDescent="0.3">
      <c r="A47" s="2">
        <f>+A46+31</f>
        <v>44074</v>
      </c>
      <c r="B47" s="3">
        <f>+K46</f>
        <v>8382.5399999999991</v>
      </c>
      <c r="C47" s="9"/>
      <c r="D47" s="9">
        <v>-128.77000000000001</v>
      </c>
      <c r="E47" s="9"/>
      <c r="F47" s="9"/>
      <c r="G47" s="9"/>
      <c r="H47" s="9"/>
      <c r="I47" s="9"/>
      <c r="J47" s="9"/>
      <c r="K47" s="9">
        <f>SUM(B47:J47)</f>
        <v>8253.7699999999986</v>
      </c>
      <c r="M47" s="9">
        <f>+M46-128.77</f>
        <v>8253.77</v>
      </c>
      <c r="N47" s="9">
        <f t="shared" si="10"/>
        <v>0</v>
      </c>
    </row>
    <row r="48" spans="1:14" x14ac:dyDescent="0.3">
      <c r="A48" s="2">
        <f>+A47+30</f>
        <v>44104</v>
      </c>
      <c r="B48" s="3">
        <f t="shared" ref="B48:B57" si="11">+K47</f>
        <v>8253.7699999999986</v>
      </c>
      <c r="C48" s="9"/>
      <c r="D48" s="9">
        <v>-77.34</v>
      </c>
      <c r="E48" s="9"/>
      <c r="F48" s="9"/>
      <c r="G48" s="9"/>
      <c r="H48" s="9"/>
      <c r="I48" s="9"/>
      <c r="J48" s="9"/>
      <c r="K48" s="9">
        <f t="shared" ref="K48:K57" si="12">SUM(B48:J48)</f>
        <v>8176.4299999999985</v>
      </c>
      <c r="M48" s="9">
        <f>+M47-77.34</f>
        <v>8176.43</v>
      </c>
      <c r="N48" s="9">
        <f t="shared" si="10"/>
        <v>0</v>
      </c>
    </row>
    <row r="49" spans="1:14" x14ac:dyDescent="0.3">
      <c r="A49" s="2">
        <f t="shared" ref="A49:A56" si="13">+A48+31</f>
        <v>44135</v>
      </c>
      <c r="B49" s="3">
        <f t="shared" si="11"/>
        <v>8176.4299999999985</v>
      </c>
      <c r="C49" s="9"/>
      <c r="D49" s="9"/>
      <c r="E49" s="9"/>
      <c r="F49" s="9"/>
      <c r="G49" s="9"/>
      <c r="H49" s="9"/>
      <c r="I49" s="9"/>
      <c r="J49" s="9"/>
      <c r="K49" s="9">
        <f t="shared" si="12"/>
        <v>8176.4299999999985</v>
      </c>
      <c r="M49" s="9">
        <f>+M48</f>
        <v>8176.43</v>
      </c>
      <c r="N49" s="9">
        <f t="shared" si="10"/>
        <v>0</v>
      </c>
    </row>
    <row r="50" spans="1:14" x14ac:dyDescent="0.3">
      <c r="A50" s="2">
        <f>+A49+30</f>
        <v>44165</v>
      </c>
      <c r="B50" s="3">
        <f t="shared" si="11"/>
        <v>8176.4299999999985</v>
      </c>
      <c r="C50" s="9"/>
      <c r="D50" s="9"/>
      <c r="E50" s="9"/>
      <c r="F50" s="9"/>
      <c r="G50" s="9"/>
      <c r="H50" s="9"/>
      <c r="I50" s="9"/>
      <c r="J50" s="9"/>
      <c r="K50" s="9">
        <f t="shared" si="12"/>
        <v>8176.4299999999985</v>
      </c>
      <c r="M50" s="9">
        <f t="shared" ref="M50:M57" si="14">+M49</f>
        <v>8176.43</v>
      </c>
      <c r="N50" s="9">
        <f t="shared" si="10"/>
        <v>0</v>
      </c>
    </row>
    <row r="51" spans="1:14" x14ac:dyDescent="0.3">
      <c r="A51" s="2">
        <f t="shared" si="13"/>
        <v>44196</v>
      </c>
      <c r="B51" s="3">
        <f t="shared" si="11"/>
        <v>8176.4299999999985</v>
      </c>
      <c r="C51" s="9"/>
      <c r="D51" s="9"/>
      <c r="E51" s="9"/>
      <c r="F51" s="9"/>
      <c r="G51" s="9"/>
      <c r="H51" s="9"/>
      <c r="I51" s="9"/>
      <c r="J51" s="9"/>
      <c r="K51" s="9">
        <f t="shared" si="12"/>
        <v>8176.4299999999985</v>
      </c>
      <c r="M51" s="9">
        <f t="shared" si="14"/>
        <v>8176.43</v>
      </c>
      <c r="N51" s="9">
        <f t="shared" si="10"/>
        <v>0</v>
      </c>
    </row>
    <row r="52" spans="1:14" x14ac:dyDescent="0.3">
      <c r="A52" s="2">
        <f t="shared" si="13"/>
        <v>44227</v>
      </c>
      <c r="B52" s="3">
        <f t="shared" si="11"/>
        <v>8176.4299999999985</v>
      </c>
      <c r="C52" s="9"/>
      <c r="D52" s="9"/>
      <c r="E52" s="9"/>
      <c r="F52" s="9"/>
      <c r="G52" s="9"/>
      <c r="H52" s="9"/>
      <c r="I52" s="9"/>
      <c r="J52" s="9"/>
      <c r="K52" s="9">
        <f t="shared" si="12"/>
        <v>8176.4299999999985</v>
      </c>
      <c r="M52" s="9">
        <f t="shared" si="14"/>
        <v>8176.43</v>
      </c>
      <c r="N52" s="9">
        <f t="shared" si="10"/>
        <v>0</v>
      </c>
    </row>
    <row r="53" spans="1:14" x14ac:dyDescent="0.3">
      <c r="A53" s="2">
        <f>+A52+28</f>
        <v>44255</v>
      </c>
      <c r="B53" s="3">
        <f t="shared" si="11"/>
        <v>8176.4299999999985</v>
      </c>
      <c r="C53" s="9"/>
      <c r="D53" s="9"/>
      <c r="E53" s="9"/>
      <c r="F53" s="9"/>
      <c r="G53" s="9"/>
      <c r="H53" s="9"/>
      <c r="I53" s="9"/>
      <c r="J53" s="9"/>
      <c r="K53" s="9">
        <f t="shared" si="12"/>
        <v>8176.4299999999985</v>
      </c>
      <c r="M53" s="9">
        <f t="shared" si="14"/>
        <v>8176.43</v>
      </c>
      <c r="N53" s="9">
        <f t="shared" si="10"/>
        <v>0</v>
      </c>
    </row>
    <row r="54" spans="1:14" x14ac:dyDescent="0.3">
      <c r="A54" s="2">
        <f t="shared" si="13"/>
        <v>44286</v>
      </c>
      <c r="B54" s="3">
        <f t="shared" si="11"/>
        <v>8176.4299999999985</v>
      </c>
      <c r="C54" s="9"/>
      <c r="D54" s="9"/>
      <c r="E54" s="9"/>
      <c r="F54" s="9"/>
      <c r="G54" s="9"/>
      <c r="H54" s="9"/>
      <c r="I54" s="9"/>
      <c r="J54" s="9"/>
      <c r="K54" s="9">
        <f t="shared" si="12"/>
        <v>8176.4299999999985</v>
      </c>
      <c r="M54" s="9">
        <f t="shared" si="14"/>
        <v>8176.43</v>
      </c>
      <c r="N54" s="9">
        <f t="shared" si="10"/>
        <v>0</v>
      </c>
    </row>
    <row r="55" spans="1:14" x14ac:dyDescent="0.3">
      <c r="A55" s="2">
        <f>+A54+30</f>
        <v>44316</v>
      </c>
      <c r="B55" s="3">
        <f t="shared" si="11"/>
        <v>8176.4299999999985</v>
      </c>
      <c r="C55" s="9"/>
      <c r="D55" s="9"/>
      <c r="E55" s="9"/>
      <c r="F55" s="9"/>
      <c r="G55" s="9"/>
      <c r="H55" s="9"/>
      <c r="I55" s="9"/>
      <c r="J55" s="9"/>
      <c r="K55" s="9">
        <f t="shared" si="12"/>
        <v>8176.4299999999985</v>
      </c>
      <c r="M55" s="9">
        <f t="shared" si="14"/>
        <v>8176.43</v>
      </c>
      <c r="N55" s="9">
        <f t="shared" si="10"/>
        <v>0</v>
      </c>
    </row>
    <row r="56" spans="1:14" x14ac:dyDescent="0.3">
      <c r="A56" s="2">
        <f t="shared" si="13"/>
        <v>44347</v>
      </c>
      <c r="B56" s="3">
        <f t="shared" si="11"/>
        <v>8176.4299999999985</v>
      </c>
      <c r="C56" s="9"/>
      <c r="D56" s="9"/>
      <c r="E56" s="9"/>
      <c r="F56" s="9"/>
      <c r="G56" s="9"/>
      <c r="H56" s="9"/>
      <c r="I56" s="9"/>
      <c r="J56" s="9"/>
      <c r="K56" s="9">
        <f t="shared" si="12"/>
        <v>8176.4299999999985</v>
      </c>
      <c r="M56" s="9">
        <f t="shared" si="14"/>
        <v>8176.43</v>
      </c>
      <c r="N56" s="9">
        <f t="shared" si="10"/>
        <v>0</v>
      </c>
    </row>
    <row r="57" spans="1:14" x14ac:dyDescent="0.3">
      <c r="A57" s="2">
        <f>+A56+30</f>
        <v>44377</v>
      </c>
      <c r="B57" s="3">
        <f t="shared" si="11"/>
        <v>8176.4299999999985</v>
      </c>
      <c r="C57" s="9"/>
      <c r="D57" s="25"/>
      <c r="E57" s="25"/>
      <c r="F57" s="25"/>
      <c r="G57" s="25"/>
      <c r="H57" s="25"/>
      <c r="I57" s="25"/>
      <c r="J57" s="9"/>
      <c r="K57" s="9">
        <f t="shared" si="12"/>
        <v>8176.4299999999985</v>
      </c>
      <c r="M57" s="9">
        <f t="shared" si="14"/>
        <v>8176.43</v>
      </c>
      <c r="N57" s="16">
        <f t="shared" si="10"/>
        <v>0</v>
      </c>
    </row>
    <row r="58" spans="1:14" x14ac:dyDescent="0.3">
      <c r="B58" s="3"/>
      <c r="C58" s="9"/>
      <c r="D58" s="9"/>
      <c r="E58" s="9"/>
      <c r="F58" s="9"/>
      <c r="G58" s="9"/>
      <c r="H58" s="9"/>
      <c r="I58" s="9"/>
      <c r="J58" s="9"/>
      <c r="K58" s="9"/>
    </row>
    <row r="59" spans="1:14" ht="15" thickBot="1" x14ac:dyDescent="0.35">
      <c r="A59" t="s">
        <v>16</v>
      </c>
      <c r="B59" s="3"/>
      <c r="C59" s="18">
        <f>SUM(C46:C57)</f>
        <v>0</v>
      </c>
      <c r="D59" s="18">
        <f t="shared" ref="D59:J59" si="15">SUM(D46:D57)</f>
        <v>-206.11</v>
      </c>
      <c r="E59" s="18">
        <f t="shared" si="15"/>
        <v>0</v>
      </c>
      <c r="F59" s="18">
        <f t="shared" si="15"/>
        <v>0</v>
      </c>
      <c r="G59" s="18">
        <f t="shared" si="15"/>
        <v>0</v>
      </c>
      <c r="H59" s="18">
        <f t="shared" si="15"/>
        <v>0</v>
      </c>
      <c r="I59" s="18">
        <f t="shared" si="15"/>
        <v>0</v>
      </c>
      <c r="J59" s="18">
        <f t="shared" si="15"/>
        <v>0</v>
      </c>
      <c r="K59" s="18">
        <f>+K57</f>
        <v>8176.4299999999985</v>
      </c>
      <c r="N59" s="5"/>
    </row>
    <row r="60" spans="1:14" ht="16.2" thickTop="1" x14ac:dyDescent="0.3">
      <c r="A60" s="22"/>
    </row>
    <row r="61" spans="1:14" ht="18" x14ac:dyDescent="0.3">
      <c r="A61" s="23">
        <v>2020</v>
      </c>
    </row>
    <row r="62" spans="1:14" x14ac:dyDescent="0.3">
      <c r="A62" s="32" t="s">
        <v>11</v>
      </c>
      <c r="M62" s="31" t="s">
        <v>22</v>
      </c>
    </row>
    <row r="63" spans="1:14" x14ac:dyDescent="0.3">
      <c r="C63" s="51" t="s">
        <v>19</v>
      </c>
      <c r="D63" s="51" t="s">
        <v>20</v>
      </c>
      <c r="E63" s="51" t="s">
        <v>19</v>
      </c>
      <c r="F63" s="51" t="s">
        <v>19</v>
      </c>
      <c r="G63" s="51" t="s">
        <v>20</v>
      </c>
      <c r="H63" s="51" t="s">
        <v>20</v>
      </c>
      <c r="I63" s="51" t="s">
        <v>21</v>
      </c>
      <c r="J63" s="10" t="s">
        <v>20</v>
      </c>
      <c r="K63" s="7" t="s">
        <v>10</v>
      </c>
      <c r="L63" s="7"/>
      <c r="M63" s="7" t="s">
        <v>9</v>
      </c>
    </row>
    <row r="64" spans="1:14" x14ac:dyDescent="0.3">
      <c r="B64" s="4" t="s">
        <v>1</v>
      </c>
      <c r="C64" s="49" t="s">
        <v>2</v>
      </c>
      <c r="D64" s="49" t="s">
        <v>3</v>
      </c>
      <c r="E64" s="49" t="s">
        <v>12</v>
      </c>
      <c r="F64" s="49" t="s">
        <v>4</v>
      </c>
      <c r="G64" s="49" t="s">
        <v>5</v>
      </c>
      <c r="H64" s="49" t="s">
        <v>13</v>
      </c>
      <c r="I64" s="49" t="s">
        <v>6</v>
      </c>
      <c r="J64" s="6" t="s">
        <v>7</v>
      </c>
      <c r="K64" s="6" t="s">
        <v>8</v>
      </c>
      <c r="L64" s="7"/>
      <c r="M64" s="6" t="s">
        <v>8</v>
      </c>
      <c r="N64" s="6" t="s">
        <v>14</v>
      </c>
    </row>
    <row r="65" spans="1:14" x14ac:dyDescent="0.3">
      <c r="A65" s="2">
        <v>43677</v>
      </c>
      <c r="B65" s="9">
        <v>1059.55</v>
      </c>
      <c r="C65" s="9"/>
      <c r="D65" s="9"/>
      <c r="E65" s="9"/>
      <c r="F65" s="9"/>
      <c r="G65" s="9"/>
      <c r="H65" s="9"/>
      <c r="I65" s="9"/>
      <c r="J65" s="9"/>
      <c r="K65" s="9">
        <f>SUM(B65:J65)</f>
        <v>1059.55</v>
      </c>
      <c r="M65" s="9">
        <v>1059.96</v>
      </c>
      <c r="N65" s="9">
        <f t="shared" ref="N65:N74" si="16">+K65-M65</f>
        <v>-0.41000000000008185</v>
      </c>
    </row>
    <row r="66" spans="1:14" x14ac:dyDescent="0.3">
      <c r="A66" s="2">
        <f>+A65+31</f>
        <v>43708</v>
      </c>
      <c r="B66" s="9">
        <f>+K65</f>
        <v>1059.55</v>
      </c>
      <c r="C66" s="9"/>
      <c r="D66" s="9"/>
      <c r="E66" s="9"/>
      <c r="F66" s="9"/>
      <c r="G66" s="9"/>
      <c r="H66" s="9"/>
      <c r="I66" s="9"/>
      <c r="J66" s="9"/>
      <c r="K66" s="9">
        <f>SUM(B66:J66)</f>
        <v>1059.55</v>
      </c>
      <c r="M66" s="9">
        <f>+M65</f>
        <v>1059.96</v>
      </c>
      <c r="N66" s="9">
        <f t="shared" si="16"/>
        <v>-0.41000000000008185</v>
      </c>
    </row>
    <row r="67" spans="1:14" x14ac:dyDescent="0.3">
      <c r="A67" s="2">
        <f>+A66+30</f>
        <v>43738</v>
      </c>
      <c r="B67" s="9">
        <f t="shared" ref="B67:B76" si="17">+K66</f>
        <v>1059.55</v>
      </c>
      <c r="C67" s="9"/>
      <c r="D67" s="9">
        <v>-173.39</v>
      </c>
      <c r="E67" s="9"/>
      <c r="F67" s="9"/>
      <c r="G67" s="9"/>
      <c r="H67" s="9"/>
      <c r="I67" s="9"/>
      <c r="J67" s="9"/>
      <c r="K67" s="9">
        <f t="shared" ref="K67:K76" si="18">SUM(B67:J67)</f>
        <v>886.16</v>
      </c>
      <c r="M67" s="9">
        <f>+M66-173.39</f>
        <v>886.57</v>
      </c>
      <c r="N67" s="9">
        <f t="shared" si="16"/>
        <v>-0.41000000000008185</v>
      </c>
    </row>
    <row r="68" spans="1:14" x14ac:dyDescent="0.3">
      <c r="A68" s="2">
        <f t="shared" ref="A68:A75" si="19">+A67+31</f>
        <v>43769</v>
      </c>
      <c r="B68" s="9">
        <f t="shared" si="17"/>
        <v>886.16</v>
      </c>
      <c r="C68" s="9"/>
      <c r="D68" s="9"/>
      <c r="E68" s="9"/>
      <c r="F68" s="9"/>
      <c r="G68" s="9"/>
      <c r="H68" s="9"/>
      <c r="I68" s="9"/>
      <c r="J68" s="9"/>
      <c r="K68" s="9">
        <f t="shared" si="18"/>
        <v>886.16</v>
      </c>
      <c r="M68" s="9">
        <f>+M67</f>
        <v>886.57</v>
      </c>
      <c r="N68" s="9">
        <f t="shared" si="16"/>
        <v>-0.41000000000008185</v>
      </c>
    </row>
    <row r="69" spans="1:14" x14ac:dyDescent="0.3">
      <c r="A69" s="2">
        <f>+A68+30</f>
        <v>43799</v>
      </c>
      <c r="B69" s="9">
        <f t="shared" si="17"/>
        <v>886.16</v>
      </c>
      <c r="C69" s="9"/>
      <c r="D69" s="9"/>
      <c r="E69" s="9"/>
      <c r="F69" s="9"/>
      <c r="G69" s="9"/>
      <c r="H69" s="9"/>
      <c r="I69" s="9"/>
      <c r="J69" s="9"/>
      <c r="K69" s="9">
        <f t="shared" si="18"/>
        <v>886.16</v>
      </c>
      <c r="M69" s="9">
        <f t="shared" ref="M69:M76" si="20">+M68</f>
        <v>886.57</v>
      </c>
      <c r="N69" s="9">
        <f t="shared" si="16"/>
        <v>-0.41000000000008185</v>
      </c>
    </row>
    <row r="70" spans="1:14" x14ac:dyDescent="0.3">
      <c r="A70" s="2">
        <f t="shared" si="19"/>
        <v>43830</v>
      </c>
      <c r="B70" s="9">
        <f t="shared" si="17"/>
        <v>886.16</v>
      </c>
      <c r="C70" s="9"/>
      <c r="D70" s="9"/>
      <c r="E70" s="9"/>
      <c r="F70" s="9"/>
      <c r="G70" s="9"/>
      <c r="H70" s="9"/>
      <c r="I70" s="9"/>
      <c r="J70" s="9"/>
      <c r="K70" s="9">
        <f t="shared" si="18"/>
        <v>886.16</v>
      </c>
      <c r="M70" s="9">
        <f t="shared" si="20"/>
        <v>886.57</v>
      </c>
      <c r="N70" s="9">
        <f t="shared" si="16"/>
        <v>-0.41000000000008185</v>
      </c>
    </row>
    <row r="71" spans="1:14" x14ac:dyDescent="0.3">
      <c r="A71" s="2">
        <f t="shared" si="19"/>
        <v>43861</v>
      </c>
      <c r="B71" s="9">
        <f t="shared" si="17"/>
        <v>886.16</v>
      </c>
      <c r="C71" s="9"/>
      <c r="D71" s="9"/>
      <c r="E71" s="9"/>
      <c r="F71" s="9"/>
      <c r="G71" s="9"/>
      <c r="H71" s="9"/>
      <c r="I71" s="9"/>
      <c r="J71" s="9"/>
      <c r="K71" s="9">
        <f t="shared" si="18"/>
        <v>886.16</v>
      </c>
      <c r="M71" s="9">
        <f t="shared" si="20"/>
        <v>886.57</v>
      </c>
      <c r="N71" s="9">
        <f t="shared" si="16"/>
        <v>-0.41000000000008185</v>
      </c>
    </row>
    <row r="72" spans="1:14" x14ac:dyDescent="0.3">
      <c r="A72" s="2">
        <f>+A71+28</f>
        <v>43889</v>
      </c>
      <c r="B72" s="9">
        <f t="shared" si="17"/>
        <v>886.16</v>
      </c>
      <c r="C72" s="9"/>
      <c r="D72" s="9"/>
      <c r="E72" s="9"/>
      <c r="F72" s="9"/>
      <c r="G72" s="9"/>
      <c r="H72" s="9"/>
      <c r="I72" s="9"/>
      <c r="J72" s="9"/>
      <c r="K72" s="9">
        <f t="shared" si="18"/>
        <v>886.16</v>
      </c>
      <c r="M72" s="9">
        <f t="shared" si="20"/>
        <v>886.57</v>
      </c>
      <c r="N72" s="9">
        <f t="shared" si="16"/>
        <v>-0.41000000000008185</v>
      </c>
    </row>
    <row r="73" spans="1:14" x14ac:dyDescent="0.3">
      <c r="A73" s="2">
        <f t="shared" si="19"/>
        <v>43920</v>
      </c>
      <c r="B73" s="9">
        <f t="shared" si="17"/>
        <v>886.16</v>
      </c>
      <c r="C73" s="9"/>
      <c r="D73" s="9"/>
      <c r="E73" s="9"/>
      <c r="F73" s="9"/>
      <c r="G73" s="9"/>
      <c r="H73" s="9"/>
      <c r="I73" s="9"/>
      <c r="J73" s="9"/>
      <c r="K73" s="9">
        <f t="shared" si="18"/>
        <v>886.16</v>
      </c>
      <c r="M73" s="9">
        <f t="shared" si="20"/>
        <v>886.57</v>
      </c>
      <c r="N73" s="9">
        <f t="shared" si="16"/>
        <v>-0.41000000000008185</v>
      </c>
    </row>
    <row r="74" spans="1:14" x14ac:dyDescent="0.3">
      <c r="A74" s="2">
        <f>+A73+30</f>
        <v>43950</v>
      </c>
      <c r="B74" s="9">
        <f t="shared" si="17"/>
        <v>886.16</v>
      </c>
      <c r="C74" s="9"/>
      <c r="D74" s="9"/>
      <c r="E74" s="9"/>
      <c r="F74" s="9"/>
      <c r="G74" s="9"/>
      <c r="H74" s="9"/>
      <c r="I74" s="9"/>
      <c r="J74" s="9"/>
      <c r="K74" s="9">
        <f t="shared" si="18"/>
        <v>886.16</v>
      </c>
      <c r="M74" s="9">
        <f t="shared" si="20"/>
        <v>886.57</v>
      </c>
      <c r="N74" s="9">
        <f t="shared" si="16"/>
        <v>-0.41000000000008185</v>
      </c>
    </row>
    <row r="75" spans="1:14" x14ac:dyDescent="0.3">
      <c r="A75" s="2">
        <f t="shared" si="19"/>
        <v>43981</v>
      </c>
      <c r="B75" s="9">
        <f t="shared" si="17"/>
        <v>886.16</v>
      </c>
      <c r="C75" s="9"/>
      <c r="D75" s="9"/>
      <c r="E75" s="9"/>
      <c r="F75" s="9"/>
      <c r="G75" s="9"/>
      <c r="H75" s="9"/>
      <c r="I75" s="9"/>
      <c r="J75" s="9"/>
      <c r="K75" s="9">
        <f t="shared" si="18"/>
        <v>886.16</v>
      </c>
      <c r="M75" s="9">
        <f t="shared" si="20"/>
        <v>886.57</v>
      </c>
      <c r="N75" s="9">
        <f>+K75-M75</f>
        <v>-0.41000000000008185</v>
      </c>
    </row>
    <row r="76" spans="1:14" x14ac:dyDescent="0.3">
      <c r="A76" s="2">
        <f>+A75+30</f>
        <v>44011</v>
      </c>
      <c r="B76" s="9">
        <f t="shared" si="17"/>
        <v>886.16</v>
      </c>
      <c r="C76" s="9"/>
      <c r="D76" s="9"/>
      <c r="E76" s="9"/>
      <c r="F76" s="9"/>
      <c r="G76" s="9"/>
      <c r="H76" s="9"/>
      <c r="I76" s="9"/>
      <c r="J76" s="9"/>
      <c r="K76" s="9">
        <f t="shared" si="18"/>
        <v>886.16</v>
      </c>
      <c r="M76" s="9">
        <f t="shared" si="20"/>
        <v>886.57</v>
      </c>
      <c r="N76" s="16">
        <f>+K76-M76</f>
        <v>-0.41000000000008185</v>
      </c>
    </row>
    <row r="77" spans="1:14" x14ac:dyDescent="0.3"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4" ht="15" thickBot="1" x14ac:dyDescent="0.35">
      <c r="A78" t="s">
        <v>16</v>
      </c>
      <c r="B78" s="3"/>
      <c r="C78" s="18">
        <f>SUM(C65:C76)</f>
        <v>0</v>
      </c>
      <c r="D78" s="18">
        <f t="shared" ref="D78:J78" si="21">SUM(D65:D76)</f>
        <v>-173.39</v>
      </c>
      <c r="E78" s="18">
        <f t="shared" si="21"/>
        <v>0</v>
      </c>
      <c r="F78" s="18">
        <f t="shared" si="21"/>
        <v>0</v>
      </c>
      <c r="G78" s="18">
        <f t="shared" si="21"/>
        <v>0</v>
      </c>
      <c r="H78" s="18">
        <f t="shared" si="21"/>
        <v>0</v>
      </c>
      <c r="I78" s="18">
        <f t="shared" si="21"/>
        <v>0</v>
      </c>
      <c r="J78" s="18">
        <f t="shared" si="21"/>
        <v>0</v>
      </c>
      <c r="K78" s="18">
        <f>+K76</f>
        <v>886.16</v>
      </c>
      <c r="N78" s="5"/>
    </row>
    <row r="79" spans="1:14" ht="15" thickTop="1" x14ac:dyDescent="0.3">
      <c r="B79" s="3"/>
      <c r="C79" s="20"/>
      <c r="D79" s="20"/>
      <c r="E79" s="20"/>
      <c r="F79" s="20"/>
      <c r="G79" s="20"/>
      <c r="H79" s="20"/>
      <c r="I79" s="20"/>
      <c r="J79" s="20"/>
      <c r="K79" s="20"/>
      <c r="N79" s="5"/>
    </row>
    <row r="80" spans="1:14" ht="18" x14ac:dyDescent="0.3">
      <c r="A80" s="23">
        <v>2019</v>
      </c>
    </row>
    <row r="81" spans="1:14" x14ac:dyDescent="0.3">
      <c r="A81" s="32" t="s">
        <v>17</v>
      </c>
      <c r="M81" s="31" t="s">
        <v>26</v>
      </c>
    </row>
    <row r="82" spans="1:14" x14ac:dyDescent="0.3">
      <c r="C82" s="51" t="s">
        <v>19</v>
      </c>
      <c r="D82" s="51" t="s">
        <v>20</v>
      </c>
      <c r="E82" s="51" t="s">
        <v>19</v>
      </c>
      <c r="F82" s="51" t="s">
        <v>19</v>
      </c>
      <c r="G82" s="51" t="s">
        <v>20</v>
      </c>
      <c r="H82" s="51" t="s">
        <v>20</v>
      </c>
      <c r="I82" s="51" t="s">
        <v>21</v>
      </c>
      <c r="J82" s="10" t="s">
        <v>20</v>
      </c>
      <c r="K82" s="7" t="s">
        <v>10</v>
      </c>
      <c r="L82" s="7"/>
      <c r="M82" s="7" t="s">
        <v>9</v>
      </c>
    </row>
    <row r="83" spans="1:14" x14ac:dyDescent="0.3">
      <c r="B83" s="4" t="s">
        <v>1</v>
      </c>
      <c r="C83" s="49" t="s">
        <v>2</v>
      </c>
      <c r="D83" s="49" t="s">
        <v>3</v>
      </c>
      <c r="E83" s="49" t="s">
        <v>12</v>
      </c>
      <c r="F83" s="49" t="s">
        <v>4</v>
      </c>
      <c r="G83" s="49" t="s">
        <v>5</v>
      </c>
      <c r="H83" s="49" t="s">
        <v>13</v>
      </c>
      <c r="I83" s="49" t="s">
        <v>6</v>
      </c>
      <c r="J83" s="6" t="s">
        <v>7</v>
      </c>
      <c r="K83" s="6" t="s">
        <v>8</v>
      </c>
      <c r="L83" s="7"/>
      <c r="M83" s="6" t="s">
        <v>8</v>
      </c>
      <c r="N83" s="6" t="s">
        <v>14</v>
      </c>
    </row>
    <row r="84" spans="1:14" x14ac:dyDescent="0.3">
      <c r="A84" s="2">
        <v>43312</v>
      </c>
      <c r="B84" s="9">
        <v>680.19</v>
      </c>
      <c r="C84" s="9"/>
      <c r="D84" s="9"/>
      <c r="E84" s="9"/>
      <c r="F84" s="9"/>
      <c r="G84" s="9"/>
      <c r="H84" s="9"/>
      <c r="I84" s="9"/>
      <c r="J84" s="9"/>
      <c r="K84" s="9">
        <f>SUM(B84:J84)</f>
        <v>680.19</v>
      </c>
      <c r="M84" s="3">
        <v>678.73</v>
      </c>
      <c r="N84" s="9">
        <f t="shared" ref="N84:N92" si="22">+K84-M84</f>
        <v>1.4600000000000364</v>
      </c>
    </row>
    <row r="85" spans="1:14" x14ac:dyDescent="0.3">
      <c r="A85" s="2">
        <f>+A84+31</f>
        <v>43343</v>
      </c>
      <c r="B85" s="9">
        <f>+K84</f>
        <v>680.19</v>
      </c>
      <c r="C85" s="9"/>
      <c r="D85" s="9"/>
      <c r="E85" s="9"/>
      <c r="F85" s="9"/>
      <c r="G85" s="9"/>
      <c r="H85" s="9"/>
      <c r="I85" s="9"/>
      <c r="J85" s="9"/>
      <c r="K85" s="9">
        <f>SUM(B85:J85)</f>
        <v>680.19</v>
      </c>
      <c r="M85" s="3">
        <f>+M84</f>
        <v>678.73</v>
      </c>
      <c r="N85" s="9">
        <f t="shared" si="22"/>
        <v>1.4600000000000364</v>
      </c>
    </row>
    <row r="86" spans="1:14" x14ac:dyDescent="0.3">
      <c r="A86" s="2">
        <f>+A85+30</f>
        <v>43373</v>
      </c>
      <c r="B86" s="9">
        <f t="shared" ref="B86:B95" si="23">+K85</f>
        <v>680.19</v>
      </c>
      <c r="C86" s="9"/>
      <c r="D86" s="9">
        <v>-39.06</v>
      </c>
      <c r="E86" s="9"/>
      <c r="F86" s="9"/>
      <c r="G86" s="9"/>
      <c r="H86" s="9"/>
      <c r="I86" s="9"/>
      <c r="J86" s="9"/>
      <c r="K86" s="9">
        <f t="shared" ref="K86:K95" si="24">SUM(B86:J86)</f>
        <v>641.13000000000011</v>
      </c>
      <c r="M86" s="3">
        <f>+M84-39.06</f>
        <v>639.67000000000007</v>
      </c>
      <c r="N86" s="9">
        <f t="shared" si="22"/>
        <v>1.4600000000000364</v>
      </c>
    </row>
    <row r="87" spans="1:14" x14ac:dyDescent="0.3">
      <c r="A87" s="2">
        <f t="shared" ref="A87:A94" si="25">+A86+31</f>
        <v>43404</v>
      </c>
      <c r="B87" s="9">
        <f t="shared" si="23"/>
        <v>641.13000000000011</v>
      </c>
      <c r="C87" s="9"/>
      <c r="D87" s="9"/>
      <c r="E87" s="9"/>
      <c r="F87" s="9"/>
      <c r="G87" s="9"/>
      <c r="H87" s="9"/>
      <c r="I87" s="9"/>
      <c r="J87" s="9"/>
      <c r="K87" s="9">
        <f t="shared" si="24"/>
        <v>641.13000000000011</v>
      </c>
      <c r="M87" s="3">
        <f>+M86</f>
        <v>639.67000000000007</v>
      </c>
      <c r="N87" s="9">
        <f t="shared" si="22"/>
        <v>1.4600000000000364</v>
      </c>
    </row>
    <row r="88" spans="1:14" x14ac:dyDescent="0.3">
      <c r="A88" s="2">
        <f>+A87+30</f>
        <v>43434</v>
      </c>
      <c r="B88" s="9">
        <f t="shared" si="23"/>
        <v>641.13000000000011</v>
      </c>
      <c r="C88" s="9"/>
      <c r="D88" s="9"/>
      <c r="E88" s="9"/>
      <c r="F88" s="9"/>
      <c r="G88" s="9"/>
      <c r="H88" s="9"/>
      <c r="I88" s="9"/>
      <c r="J88" s="9"/>
      <c r="K88" s="9">
        <f t="shared" si="24"/>
        <v>641.13000000000011</v>
      </c>
      <c r="M88" s="3">
        <f>+M87</f>
        <v>639.67000000000007</v>
      </c>
      <c r="N88" s="9">
        <f t="shared" si="22"/>
        <v>1.4600000000000364</v>
      </c>
    </row>
    <row r="89" spans="1:14" x14ac:dyDescent="0.3">
      <c r="A89" s="2">
        <f t="shared" si="25"/>
        <v>43465</v>
      </c>
      <c r="B89" s="9">
        <f t="shared" si="23"/>
        <v>641.13000000000011</v>
      </c>
      <c r="C89" s="9"/>
      <c r="D89" s="9"/>
      <c r="E89" s="9"/>
      <c r="F89" s="9"/>
      <c r="G89" s="9"/>
      <c r="H89" s="9"/>
      <c r="I89" s="9"/>
      <c r="J89" s="9"/>
      <c r="K89" s="9">
        <f t="shared" si="24"/>
        <v>641.13000000000011</v>
      </c>
      <c r="M89" s="3">
        <f>+M88</f>
        <v>639.67000000000007</v>
      </c>
      <c r="N89" s="9">
        <f t="shared" si="22"/>
        <v>1.4600000000000364</v>
      </c>
    </row>
    <row r="90" spans="1:14" x14ac:dyDescent="0.3">
      <c r="A90" s="2">
        <f t="shared" si="25"/>
        <v>43496</v>
      </c>
      <c r="B90" s="9">
        <f t="shared" si="23"/>
        <v>641.13000000000011</v>
      </c>
      <c r="C90" s="9"/>
      <c r="D90" s="9">
        <v>-71.12</v>
      </c>
      <c r="E90" s="9"/>
      <c r="F90" s="9"/>
      <c r="G90" s="9"/>
      <c r="H90" s="9"/>
      <c r="I90" s="9"/>
      <c r="J90" s="9"/>
      <c r="K90" s="9">
        <f t="shared" si="24"/>
        <v>570.0100000000001</v>
      </c>
      <c r="M90" s="3">
        <f>+M89-71.12</f>
        <v>568.55000000000007</v>
      </c>
      <c r="N90" s="9">
        <f t="shared" si="22"/>
        <v>1.4600000000000364</v>
      </c>
    </row>
    <row r="91" spans="1:14" x14ac:dyDescent="0.3">
      <c r="A91" s="2">
        <f>+A90+28</f>
        <v>43524</v>
      </c>
      <c r="B91" s="9">
        <f t="shared" si="23"/>
        <v>570.0100000000001</v>
      </c>
      <c r="C91" s="9"/>
      <c r="D91" s="9"/>
      <c r="E91" s="9"/>
      <c r="F91" s="9"/>
      <c r="G91" s="9"/>
      <c r="H91" s="9"/>
      <c r="I91" s="9"/>
      <c r="J91" s="9"/>
      <c r="K91" s="9">
        <f t="shared" si="24"/>
        <v>570.0100000000001</v>
      </c>
      <c r="M91" s="3">
        <f>+M90</f>
        <v>568.55000000000007</v>
      </c>
      <c r="N91" s="9">
        <f t="shared" si="22"/>
        <v>1.4600000000000364</v>
      </c>
    </row>
    <row r="92" spans="1:14" x14ac:dyDescent="0.3">
      <c r="A92" s="2">
        <f t="shared" si="25"/>
        <v>43555</v>
      </c>
      <c r="B92" s="9">
        <f t="shared" si="23"/>
        <v>570.0100000000001</v>
      </c>
      <c r="C92" s="9"/>
      <c r="D92" s="9"/>
      <c r="E92" s="9"/>
      <c r="F92" s="9"/>
      <c r="G92" s="9"/>
      <c r="H92" s="9"/>
      <c r="I92" s="9"/>
      <c r="J92" s="9"/>
      <c r="K92" s="9">
        <f t="shared" si="24"/>
        <v>570.0100000000001</v>
      </c>
      <c r="M92" s="3">
        <f t="shared" ref="M92:M95" si="26">+M91</f>
        <v>568.55000000000007</v>
      </c>
      <c r="N92" s="9">
        <f t="shared" si="22"/>
        <v>1.4600000000000364</v>
      </c>
    </row>
    <row r="93" spans="1:14" x14ac:dyDescent="0.3">
      <c r="A93" s="2">
        <f>+A92+30</f>
        <v>43585</v>
      </c>
      <c r="B93" s="9">
        <f t="shared" si="23"/>
        <v>570.0100000000001</v>
      </c>
      <c r="C93" s="9"/>
      <c r="D93" s="9"/>
      <c r="E93" s="9"/>
      <c r="F93" s="9"/>
      <c r="G93" s="9"/>
      <c r="H93" s="9"/>
      <c r="I93" s="9"/>
      <c r="J93" s="9"/>
      <c r="K93" s="9">
        <f t="shared" si="24"/>
        <v>570.0100000000001</v>
      </c>
      <c r="M93" s="3">
        <f t="shared" si="26"/>
        <v>568.55000000000007</v>
      </c>
      <c r="N93" s="9">
        <f>+K93-M93</f>
        <v>1.4600000000000364</v>
      </c>
    </row>
    <row r="94" spans="1:14" x14ac:dyDescent="0.3">
      <c r="A94" s="2">
        <f t="shared" si="25"/>
        <v>43616</v>
      </c>
      <c r="B94" s="9">
        <f t="shared" si="23"/>
        <v>570.0100000000001</v>
      </c>
      <c r="C94" s="9"/>
      <c r="D94" s="9"/>
      <c r="E94" s="9"/>
      <c r="F94" s="9"/>
      <c r="G94" s="9"/>
      <c r="H94" s="9"/>
      <c r="I94" s="9"/>
      <c r="J94" s="9"/>
      <c r="K94" s="9">
        <f t="shared" si="24"/>
        <v>570.0100000000001</v>
      </c>
      <c r="M94" s="3">
        <f t="shared" si="26"/>
        <v>568.55000000000007</v>
      </c>
      <c r="N94" s="9">
        <f>+K94-M94</f>
        <v>1.4600000000000364</v>
      </c>
    </row>
    <row r="95" spans="1:14" x14ac:dyDescent="0.3">
      <c r="A95" s="2">
        <f>+A94+30</f>
        <v>43646</v>
      </c>
      <c r="B95" s="9">
        <f t="shared" si="23"/>
        <v>570.0100000000001</v>
      </c>
      <c r="C95" s="9"/>
      <c r="D95" s="9"/>
      <c r="E95" s="9"/>
      <c r="F95" s="9"/>
      <c r="G95" s="9"/>
      <c r="H95" s="9"/>
      <c r="I95" s="9"/>
      <c r="J95" s="9"/>
      <c r="K95" s="9">
        <f t="shared" si="24"/>
        <v>570.0100000000001</v>
      </c>
      <c r="M95" s="3">
        <f t="shared" si="26"/>
        <v>568.55000000000007</v>
      </c>
      <c r="N95" s="14">
        <f>+K95-M95</f>
        <v>1.4600000000000364</v>
      </c>
    </row>
    <row r="96" spans="1:14" x14ac:dyDescent="0.3">
      <c r="B96" s="9"/>
      <c r="C96" s="9"/>
      <c r="D96" s="9"/>
      <c r="E96" s="9"/>
      <c r="F96" s="9"/>
      <c r="G96" s="9"/>
      <c r="H96" s="9"/>
      <c r="I96" s="9"/>
      <c r="J96" s="9"/>
      <c r="K96" s="9"/>
      <c r="M96" s="3"/>
    </row>
    <row r="97" spans="1:15" ht="15" thickBot="1" x14ac:dyDescent="0.35">
      <c r="A97" t="s">
        <v>16</v>
      </c>
      <c r="B97" s="3">
        <f>+B84</f>
        <v>680.19</v>
      </c>
      <c r="C97" s="18">
        <f>SUM(C84:C95)</f>
        <v>0</v>
      </c>
      <c r="D97" s="18">
        <f t="shared" ref="D97:J97" si="27">SUM(D84:D95)</f>
        <v>-110.18</v>
      </c>
      <c r="E97" s="18">
        <f t="shared" si="27"/>
        <v>0</v>
      </c>
      <c r="F97" s="18">
        <f t="shared" si="27"/>
        <v>0</v>
      </c>
      <c r="G97" s="18">
        <f t="shared" si="27"/>
        <v>0</v>
      </c>
      <c r="H97" s="18">
        <f t="shared" si="27"/>
        <v>0</v>
      </c>
      <c r="I97" s="18">
        <f t="shared" si="27"/>
        <v>0</v>
      </c>
      <c r="J97" s="18">
        <f t="shared" si="27"/>
        <v>0</v>
      </c>
      <c r="K97" s="18">
        <f>SUM(B97:J97)</f>
        <v>570.01</v>
      </c>
      <c r="N97" s="5"/>
    </row>
    <row r="98" spans="1:15" ht="15" thickTop="1" x14ac:dyDescent="0.3">
      <c r="B98" s="3"/>
      <c r="C98" s="20"/>
      <c r="D98" s="20"/>
      <c r="E98" s="20"/>
      <c r="F98" s="20"/>
      <c r="G98" s="20"/>
      <c r="H98" s="20"/>
      <c r="I98" s="20"/>
      <c r="J98" s="20"/>
      <c r="K98" s="20"/>
      <c r="N98" s="5"/>
      <c r="O98" s="12"/>
    </row>
    <row r="99" spans="1:15" ht="18" x14ac:dyDescent="0.3">
      <c r="A99" s="23">
        <v>2018</v>
      </c>
      <c r="O99" s="12"/>
    </row>
    <row r="100" spans="1:15" x14ac:dyDescent="0.3">
      <c r="A100" s="32" t="s">
        <v>27</v>
      </c>
      <c r="M100" s="31" t="s">
        <v>29</v>
      </c>
      <c r="O100" s="12"/>
    </row>
    <row r="101" spans="1:15" x14ac:dyDescent="0.3">
      <c r="C101" s="51" t="s">
        <v>19</v>
      </c>
      <c r="D101" s="51" t="s">
        <v>20</v>
      </c>
      <c r="E101" s="51" t="s">
        <v>19</v>
      </c>
      <c r="F101" s="51" t="s">
        <v>19</v>
      </c>
      <c r="G101" s="51" t="s">
        <v>20</v>
      </c>
      <c r="H101" s="51" t="s">
        <v>20</v>
      </c>
      <c r="I101" s="51" t="s">
        <v>21</v>
      </c>
      <c r="J101" s="10" t="s">
        <v>20</v>
      </c>
      <c r="K101" s="7" t="s">
        <v>10</v>
      </c>
      <c r="L101" s="7"/>
      <c r="M101" s="7" t="s">
        <v>9</v>
      </c>
      <c r="O101" s="12"/>
    </row>
    <row r="102" spans="1:15" x14ac:dyDescent="0.3">
      <c r="B102" s="4" t="s">
        <v>1</v>
      </c>
      <c r="C102" s="49" t="s">
        <v>2</v>
      </c>
      <c r="D102" s="49" t="s">
        <v>3</v>
      </c>
      <c r="E102" s="49" t="s">
        <v>12</v>
      </c>
      <c r="F102" s="49" t="s">
        <v>4</v>
      </c>
      <c r="G102" s="49" t="s">
        <v>5</v>
      </c>
      <c r="H102" s="49" t="s">
        <v>13</v>
      </c>
      <c r="I102" s="49" t="s">
        <v>6</v>
      </c>
      <c r="J102" s="6" t="s">
        <v>7</v>
      </c>
      <c r="K102" s="6" t="s">
        <v>8</v>
      </c>
      <c r="L102" s="7"/>
      <c r="M102" s="6" t="s">
        <v>8</v>
      </c>
      <c r="N102" s="6" t="s">
        <v>14</v>
      </c>
      <c r="O102" s="12"/>
    </row>
    <row r="103" spans="1:15" x14ac:dyDescent="0.3">
      <c r="A103" s="2">
        <v>42947</v>
      </c>
      <c r="B103" s="9">
        <v>991.63</v>
      </c>
      <c r="C103" s="9"/>
      <c r="D103" s="9"/>
      <c r="E103" s="9"/>
      <c r="F103" s="9"/>
      <c r="G103" s="9"/>
      <c r="H103" s="9"/>
      <c r="I103" s="9"/>
      <c r="J103" s="9"/>
      <c r="K103" s="9">
        <f>SUM(B103:J103)</f>
        <v>991.63</v>
      </c>
      <c r="M103" s="3">
        <v>991.63</v>
      </c>
      <c r="N103" s="9">
        <f t="shared" ref="N103:N112" si="28">+K103-M103</f>
        <v>0</v>
      </c>
      <c r="O103" s="12"/>
    </row>
    <row r="104" spans="1:15" x14ac:dyDescent="0.3">
      <c r="A104" s="2">
        <f>+A103+31</f>
        <v>42978</v>
      </c>
      <c r="B104" s="9">
        <f>+K103</f>
        <v>991.63</v>
      </c>
      <c r="C104" s="9"/>
      <c r="D104" s="9"/>
      <c r="E104" s="9"/>
      <c r="F104" s="9"/>
      <c r="G104" s="9"/>
      <c r="H104" s="9"/>
      <c r="I104" s="9"/>
      <c r="J104" s="9"/>
      <c r="K104" s="9">
        <f t="shared" ref="K104:K114" si="29">SUM(B104:J104)</f>
        <v>991.63</v>
      </c>
      <c r="M104" s="3">
        <v>991.63</v>
      </c>
      <c r="N104" s="9">
        <f t="shared" si="28"/>
        <v>0</v>
      </c>
      <c r="O104" s="12"/>
    </row>
    <row r="105" spans="1:15" x14ac:dyDescent="0.3">
      <c r="A105" s="2">
        <f>+A104+30</f>
        <v>43008</v>
      </c>
      <c r="B105" s="9">
        <f t="shared" ref="B105:B114" si="30">+K104</f>
        <v>991.63</v>
      </c>
      <c r="C105" s="9"/>
      <c r="D105" s="9"/>
      <c r="E105" s="9"/>
      <c r="F105" s="9"/>
      <c r="G105" s="9"/>
      <c r="H105" s="9"/>
      <c r="I105" s="9"/>
      <c r="J105" s="9"/>
      <c r="K105" s="9">
        <f t="shared" si="29"/>
        <v>991.63</v>
      </c>
      <c r="M105" s="3">
        <v>991.63</v>
      </c>
      <c r="N105" s="9">
        <f t="shared" si="28"/>
        <v>0</v>
      </c>
      <c r="O105" s="12"/>
    </row>
    <row r="106" spans="1:15" x14ac:dyDescent="0.3">
      <c r="A106" s="2">
        <f t="shared" ref="A106:A113" si="31">+A105+31</f>
        <v>43039</v>
      </c>
      <c r="B106" s="9">
        <f t="shared" si="30"/>
        <v>991.63</v>
      </c>
      <c r="C106" s="9"/>
      <c r="D106" s="9"/>
      <c r="E106" s="9"/>
      <c r="F106" s="9"/>
      <c r="G106" s="9"/>
      <c r="H106" s="9"/>
      <c r="I106" s="9"/>
      <c r="J106" s="9"/>
      <c r="K106" s="9">
        <f t="shared" si="29"/>
        <v>991.63</v>
      </c>
      <c r="M106" s="3">
        <v>991.63</v>
      </c>
      <c r="N106" s="9">
        <f t="shared" si="28"/>
        <v>0</v>
      </c>
      <c r="O106" s="12"/>
    </row>
    <row r="107" spans="1:15" x14ac:dyDescent="0.3">
      <c r="A107" s="2">
        <f>+A106+30</f>
        <v>43069</v>
      </c>
      <c r="B107" s="9">
        <f t="shared" si="30"/>
        <v>991.63</v>
      </c>
      <c r="C107" s="9"/>
      <c r="D107" s="9"/>
      <c r="E107" s="9"/>
      <c r="F107" s="9"/>
      <c r="G107" s="9"/>
      <c r="H107" s="9"/>
      <c r="I107" s="9"/>
      <c r="J107" s="9"/>
      <c r="K107" s="9">
        <f t="shared" si="29"/>
        <v>991.63</v>
      </c>
      <c r="M107" s="3">
        <v>991.63</v>
      </c>
      <c r="N107" s="9">
        <f t="shared" si="28"/>
        <v>0</v>
      </c>
      <c r="O107" s="12"/>
    </row>
    <row r="108" spans="1:15" x14ac:dyDescent="0.3">
      <c r="A108" s="2">
        <f t="shared" si="31"/>
        <v>43100</v>
      </c>
      <c r="B108" s="9">
        <f t="shared" si="30"/>
        <v>991.63</v>
      </c>
      <c r="C108" s="9"/>
      <c r="D108" s="9"/>
      <c r="E108" s="9"/>
      <c r="F108" s="9"/>
      <c r="G108" s="9"/>
      <c r="H108" s="9"/>
      <c r="I108" s="9"/>
      <c r="J108" s="9"/>
      <c r="K108" s="9">
        <f t="shared" si="29"/>
        <v>991.63</v>
      </c>
      <c r="M108" s="3">
        <v>991.63</v>
      </c>
      <c r="N108" s="9">
        <f t="shared" si="28"/>
        <v>0</v>
      </c>
      <c r="O108" s="12"/>
    </row>
    <row r="109" spans="1:15" x14ac:dyDescent="0.3">
      <c r="A109" s="2">
        <f t="shared" si="31"/>
        <v>43131</v>
      </c>
      <c r="B109" s="9">
        <f t="shared" si="30"/>
        <v>991.63</v>
      </c>
      <c r="C109" s="9"/>
      <c r="D109" s="9"/>
      <c r="E109" s="9"/>
      <c r="F109" s="9"/>
      <c r="G109" s="9"/>
      <c r="H109" s="9"/>
      <c r="I109" s="9"/>
      <c r="J109" s="9"/>
      <c r="K109" s="9">
        <f t="shared" si="29"/>
        <v>991.63</v>
      </c>
      <c r="M109" s="3">
        <v>991.63</v>
      </c>
      <c r="N109" s="9">
        <f t="shared" si="28"/>
        <v>0</v>
      </c>
      <c r="O109" s="12"/>
    </row>
    <row r="110" spans="1:15" x14ac:dyDescent="0.3">
      <c r="A110" s="2">
        <f>+A109+28</f>
        <v>43159</v>
      </c>
      <c r="B110" s="9">
        <f t="shared" si="30"/>
        <v>991.63</v>
      </c>
      <c r="C110" s="9"/>
      <c r="D110" s="9"/>
      <c r="E110" s="9"/>
      <c r="F110" s="9"/>
      <c r="G110" s="9"/>
      <c r="H110" s="9"/>
      <c r="I110" s="9"/>
      <c r="J110" s="9"/>
      <c r="K110" s="9">
        <f t="shared" si="29"/>
        <v>991.63</v>
      </c>
      <c r="M110" s="3">
        <v>991.63</v>
      </c>
      <c r="N110" s="9">
        <f t="shared" si="28"/>
        <v>0</v>
      </c>
      <c r="O110" s="12"/>
    </row>
    <row r="111" spans="1:15" x14ac:dyDescent="0.3">
      <c r="A111" s="2">
        <f t="shared" si="31"/>
        <v>43190</v>
      </c>
      <c r="B111" s="9">
        <f t="shared" si="30"/>
        <v>991.63</v>
      </c>
      <c r="C111" s="9"/>
      <c r="D111" s="9"/>
      <c r="E111" s="9"/>
      <c r="F111" s="9"/>
      <c r="G111" s="9"/>
      <c r="H111" s="9"/>
      <c r="I111" s="9"/>
      <c r="J111" s="9"/>
      <c r="K111" s="9">
        <f t="shared" si="29"/>
        <v>991.63</v>
      </c>
      <c r="M111" s="3">
        <v>991.63</v>
      </c>
      <c r="N111" s="9">
        <f t="shared" si="28"/>
        <v>0</v>
      </c>
      <c r="O111" s="12"/>
    </row>
    <row r="112" spans="1:15" x14ac:dyDescent="0.3">
      <c r="A112" s="2">
        <f>+A111+30</f>
        <v>43220</v>
      </c>
      <c r="B112" s="9">
        <f t="shared" si="30"/>
        <v>991.63</v>
      </c>
      <c r="C112" s="9"/>
      <c r="D112" s="9"/>
      <c r="E112" s="9"/>
      <c r="F112" s="9"/>
      <c r="G112" s="9"/>
      <c r="H112" s="9"/>
      <c r="I112" s="9"/>
      <c r="J112" s="9"/>
      <c r="K112" s="9">
        <f t="shared" si="29"/>
        <v>991.63</v>
      </c>
      <c r="M112" s="3">
        <v>991.63</v>
      </c>
      <c r="N112" s="9">
        <f t="shared" si="28"/>
        <v>0</v>
      </c>
      <c r="O112" s="12"/>
    </row>
    <row r="113" spans="1:15" x14ac:dyDescent="0.3">
      <c r="A113" s="2">
        <f t="shared" si="31"/>
        <v>43251</v>
      </c>
      <c r="B113" s="9">
        <f t="shared" si="30"/>
        <v>991.63</v>
      </c>
      <c r="C113" s="9"/>
      <c r="D113" s="9"/>
      <c r="E113" s="9"/>
      <c r="F113" s="9"/>
      <c r="G113" s="9"/>
      <c r="H113" s="9"/>
      <c r="I113" s="9"/>
      <c r="J113" s="9"/>
      <c r="K113" s="9">
        <f t="shared" si="29"/>
        <v>991.63</v>
      </c>
      <c r="M113" s="3">
        <v>991.63</v>
      </c>
      <c r="N113" s="9">
        <f>+K113-M113</f>
        <v>0</v>
      </c>
      <c r="O113" s="12"/>
    </row>
    <row r="114" spans="1:15" x14ac:dyDescent="0.3">
      <c r="A114" s="2">
        <f>+A113+30</f>
        <v>43281</v>
      </c>
      <c r="B114" s="9">
        <f t="shared" si="30"/>
        <v>991.63</v>
      </c>
      <c r="C114" s="9"/>
      <c r="D114" s="9"/>
      <c r="E114" s="9"/>
      <c r="F114" s="9"/>
      <c r="G114" s="9"/>
      <c r="H114" s="9"/>
      <c r="I114" s="9"/>
      <c r="J114" s="9"/>
      <c r="K114" s="9">
        <f t="shared" si="29"/>
        <v>991.63</v>
      </c>
      <c r="M114" s="3">
        <v>991.63</v>
      </c>
      <c r="N114" s="16">
        <f>+K114-M114</f>
        <v>0</v>
      </c>
      <c r="O114" s="12"/>
    </row>
    <row r="115" spans="1:15" x14ac:dyDescent="0.3">
      <c r="B115" s="3"/>
      <c r="C115" s="9"/>
      <c r="D115" s="9"/>
      <c r="E115" s="9"/>
      <c r="F115" s="9"/>
      <c r="G115" s="9"/>
      <c r="H115" s="9"/>
      <c r="I115" s="9"/>
      <c r="J115" s="9"/>
      <c r="K115" s="9"/>
      <c r="O115" s="12"/>
    </row>
    <row r="116" spans="1:15" ht="15" thickBot="1" x14ac:dyDescent="0.35">
      <c r="A116" t="s">
        <v>16</v>
      </c>
      <c r="B116" s="3">
        <f>+B103</f>
        <v>991.63</v>
      </c>
      <c r="C116" s="18">
        <f>SUM(C103:C114)</f>
        <v>0</v>
      </c>
      <c r="D116" s="18">
        <f t="shared" ref="D116:J116" si="32">SUM(D103:D114)</f>
        <v>0</v>
      </c>
      <c r="E116" s="18">
        <f t="shared" si="32"/>
        <v>0</v>
      </c>
      <c r="F116" s="18">
        <f t="shared" si="32"/>
        <v>0</v>
      </c>
      <c r="G116" s="18">
        <f t="shared" si="32"/>
        <v>0</v>
      </c>
      <c r="H116" s="18">
        <f t="shared" si="32"/>
        <v>0</v>
      </c>
      <c r="I116" s="18">
        <f t="shared" si="32"/>
        <v>0</v>
      </c>
      <c r="J116" s="18">
        <f t="shared" si="32"/>
        <v>0</v>
      </c>
      <c r="K116" s="18">
        <f>SUM(B116:J116)</f>
        <v>991.63</v>
      </c>
      <c r="N116" s="5"/>
      <c r="O116" s="12"/>
    </row>
    <row r="117" spans="1:15" ht="15" thickTop="1" x14ac:dyDescent="0.3">
      <c r="O117" s="12"/>
    </row>
    <row r="118" spans="1:15" ht="18" x14ac:dyDescent="0.3">
      <c r="A118" s="23">
        <v>2017</v>
      </c>
      <c r="O118" s="12"/>
    </row>
    <row r="119" spans="1:15" x14ac:dyDescent="0.3">
      <c r="A119" s="32" t="s">
        <v>28</v>
      </c>
      <c r="M119" s="31" t="s">
        <v>30</v>
      </c>
      <c r="O119" s="12"/>
    </row>
    <row r="120" spans="1:15" x14ac:dyDescent="0.3">
      <c r="C120" s="51" t="s">
        <v>19</v>
      </c>
      <c r="D120" s="51" t="s">
        <v>20</v>
      </c>
      <c r="E120" s="51" t="s">
        <v>19</v>
      </c>
      <c r="F120" s="51" t="s">
        <v>19</v>
      </c>
      <c r="G120" s="51" t="s">
        <v>20</v>
      </c>
      <c r="H120" s="51" t="s">
        <v>20</v>
      </c>
      <c r="I120" s="51" t="s">
        <v>21</v>
      </c>
      <c r="J120" s="10" t="s">
        <v>20</v>
      </c>
      <c r="K120" s="7" t="s">
        <v>10</v>
      </c>
      <c r="L120" s="7"/>
      <c r="M120" s="7" t="s">
        <v>9</v>
      </c>
      <c r="O120" s="12"/>
    </row>
    <row r="121" spans="1:15" x14ac:dyDescent="0.3">
      <c r="B121" s="4" t="s">
        <v>1</v>
      </c>
      <c r="C121" s="49" t="s">
        <v>2</v>
      </c>
      <c r="D121" s="49" t="s">
        <v>3</v>
      </c>
      <c r="E121" s="49" t="s">
        <v>12</v>
      </c>
      <c r="F121" s="49" t="s">
        <v>4</v>
      </c>
      <c r="G121" s="49" t="s">
        <v>5</v>
      </c>
      <c r="H121" s="49" t="s">
        <v>13</v>
      </c>
      <c r="I121" s="49" t="s">
        <v>6</v>
      </c>
      <c r="J121" s="6" t="s">
        <v>7</v>
      </c>
      <c r="K121" s="6" t="s">
        <v>8</v>
      </c>
      <c r="L121" s="7"/>
      <c r="M121" s="6" t="s">
        <v>8</v>
      </c>
      <c r="N121" s="6" t="s">
        <v>14</v>
      </c>
      <c r="O121" s="12"/>
    </row>
    <row r="122" spans="1:15" x14ac:dyDescent="0.3">
      <c r="A122" s="2">
        <v>42582</v>
      </c>
      <c r="B122" s="9">
        <v>1009.86</v>
      </c>
      <c r="C122" s="9"/>
      <c r="D122" s="9"/>
      <c r="E122" s="9"/>
      <c r="F122" s="9"/>
      <c r="G122" s="9"/>
      <c r="H122" s="9"/>
      <c r="I122" s="9"/>
      <c r="J122" s="9"/>
      <c r="K122" s="9">
        <f t="shared" ref="K122:K133" si="33">SUM(B122:J122)</f>
        <v>1009.86</v>
      </c>
      <c r="M122" s="3">
        <v>1009.86</v>
      </c>
      <c r="N122" s="9">
        <f t="shared" ref="N122:N131" si="34">+K122-M122</f>
        <v>0</v>
      </c>
      <c r="O122" s="12"/>
    </row>
    <row r="123" spans="1:15" x14ac:dyDescent="0.3">
      <c r="A123" s="2">
        <f>+A122+31</f>
        <v>42613</v>
      </c>
      <c r="B123" s="9">
        <f>+K122</f>
        <v>1009.86</v>
      </c>
      <c r="C123" s="9"/>
      <c r="D123" s="9"/>
      <c r="E123" s="9"/>
      <c r="F123" s="9"/>
      <c r="G123" s="9"/>
      <c r="H123" s="9"/>
      <c r="I123" s="9"/>
      <c r="J123" s="9"/>
      <c r="K123" s="9">
        <f t="shared" si="33"/>
        <v>1009.86</v>
      </c>
      <c r="M123" s="3">
        <v>1009.86</v>
      </c>
      <c r="N123" s="9">
        <f t="shared" si="34"/>
        <v>0</v>
      </c>
      <c r="O123" s="12"/>
    </row>
    <row r="124" spans="1:15" x14ac:dyDescent="0.3">
      <c r="A124" s="2">
        <f>+A123+30</f>
        <v>42643</v>
      </c>
      <c r="B124" s="9">
        <f t="shared" ref="B124:B133" si="35">+K123</f>
        <v>1009.86</v>
      </c>
      <c r="C124" s="9"/>
      <c r="D124" s="9"/>
      <c r="E124" s="9"/>
      <c r="F124" s="9"/>
      <c r="G124" s="9"/>
      <c r="H124" s="9"/>
      <c r="I124" s="9"/>
      <c r="J124" s="9"/>
      <c r="K124" s="9">
        <f t="shared" si="33"/>
        <v>1009.86</v>
      </c>
      <c r="M124" s="3">
        <v>1009.86</v>
      </c>
      <c r="N124" s="9">
        <f t="shared" si="34"/>
        <v>0</v>
      </c>
      <c r="O124" s="12"/>
    </row>
    <row r="125" spans="1:15" x14ac:dyDescent="0.3">
      <c r="A125" s="2">
        <f t="shared" ref="A125:A132" si="36">+A124+31</f>
        <v>42674</v>
      </c>
      <c r="B125" s="9">
        <f t="shared" si="35"/>
        <v>1009.86</v>
      </c>
      <c r="C125" s="9"/>
      <c r="D125" s="9"/>
      <c r="E125" s="9"/>
      <c r="F125" s="9"/>
      <c r="G125" s="9"/>
      <c r="H125" s="9"/>
      <c r="I125" s="9"/>
      <c r="J125" s="9"/>
      <c r="K125" s="9">
        <f t="shared" si="33"/>
        <v>1009.86</v>
      </c>
      <c r="M125" s="3">
        <v>1009.86</v>
      </c>
      <c r="N125" s="9">
        <f t="shared" si="34"/>
        <v>0</v>
      </c>
      <c r="O125" s="12"/>
    </row>
    <row r="126" spans="1:15" x14ac:dyDescent="0.3">
      <c r="A126" s="2">
        <f>+A125+30</f>
        <v>42704</v>
      </c>
      <c r="B126" s="9">
        <f t="shared" si="35"/>
        <v>1009.86</v>
      </c>
      <c r="C126" s="9"/>
      <c r="D126" s="9"/>
      <c r="E126" s="9"/>
      <c r="F126" s="9"/>
      <c r="G126" s="9"/>
      <c r="H126" s="9"/>
      <c r="I126" s="9"/>
      <c r="J126" s="9"/>
      <c r="K126" s="9">
        <f t="shared" si="33"/>
        <v>1009.86</v>
      </c>
      <c r="M126" s="3">
        <v>1009.86</v>
      </c>
      <c r="N126" s="9">
        <f t="shared" si="34"/>
        <v>0</v>
      </c>
      <c r="O126" s="12"/>
    </row>
    <row r="127" spans="1:15" x14ac:dyDescent="0.3">
      <c r="A127" s="2">
        <f t="shared" si="36"/>
        <v>42735</v>
      </c>
      <c r="B127" s="9">
        <f t="shared" si="35"/>
        <v>1009.86</v>
      </c>
      <c r="C127" s="9"/>
      <c r="D127" s="9"/>
      <c r="E127" s="9"/>
      <c r="F127" s="9"/>
      <c r="G127" s="9"/>
      <c r="H127" s="9"/>
      <c r="I127" s="9"/>
      <c r="J127" s="9"/>
      <c r="K127" s="9">
        <f t="shared" si="33"/>
        <v>1009.86</v>
      </c>
      <c r="M127" s="3">
        <v>1009.86</v>
      </c>
      <c r="N127" s="9">
        <f t="shared" si="34"/>
        <v>0</v>
      </c>
      <c r="O127" s="12"/>
    </row>
    <row r="128" spans="1:15" x14ac:dyDescent="0.3">
      <c r="A128" s="2">
        <f t="shared" si="36"/>
        <v>42766</v>
      </c>
      <c r="B128" s="9">
        <f t="shared" si="35"/>
        <v>1009.86</v>
      </c>
      <c r="C128" s="9"/>
      <c r="D128" s="9"/>
      <c r="E128" s="9"/>
      <c r="F128" s="9"/>
      <c r="G128" s="9"/>
      <c r="H128" s="9"/>
      <c r="I128" s="9"/>
      <c r="J128" s="9"/>
      <c r="K128" s="9">
        <f t="shared" si="33"/>
        <v>1009.86</v>
      </c>
      <c r="M128" s="3">
        <v>1009.86</v>
      </c>
      <c r="N128" s="9">
        <f t="shared" si="34"/>
        <v>0</v>
      </c>
      <c r="O128" s="12"/>
    </row>
    <row r="129" spans="1:15" x14ac:dyDescent="0.3">
      <c r="A129" s="2">
        <f>+A128+28</f>
        <v>42794</v>
      </c>
      <c r="B129" s="9">
        <f t="shared" si="35"/>
        <v>1009.86</v>
      </c>
      <c r="C129" s="9"/>
      <c r="D129" s="9"/>
      <c r="E129" s="9"/>
      <c r="F129" s="9"/>
      <c r="G129" s="9"/>
      <c r="H129" s="9"/>
      <c r="I129" s="9"/>
      <c r="J129" s="9"/>
      <c r="K129" s="9">
        <f t="shared" si="33"/>
        <v>1009.86</v>
      </c>
      <c r="M129" s="3">
        <v>1009.86</v>
      </c>
      <c r="N129" s="9">
        <f t="shared" si="34"/>
        <v>0</v>
      </c>
      <c r="O129" s="12"/>
    </row>
    <row r="130" spans="1:15" x14ac:dyDescent="0.3">
      <c r="A130" s="2">
        <f t="shared" si="36"/>
        <v>42825</v>
      </c>
      <c r="B130" s="9">
        <f t="shared" si="35"/>
        <v>1009.86</v>
      </c>
      <c r="C130" s="9"/>
      <c r="D130" s="9"/>
      <c r="E130" s="9"/>
      <c r="F130" s="9"/>
      <c r="G130" s="9"/>
      <c r="H130" s="9"/>
      <c r="I130" s="9"/>
      <c r="J130" s="9"/>
      <c r="K130" s="9">
        <f t="shared" si="33"/>
        <v>1009.86</v>
      </c>
      <c r="M130" s="3">
        <v>1009.86</v>
      </c>
      <c r="N130" s="9">
        <f t="shared" si="34"/>
        <v>0</v>
      </c>
      <c r="O130" s="12"/>
    </row>
    <row r="131" spans="1:15" x14ac:dyDescent="0.3">
      <c r="A131" s="2">
        <f>+A130+30</f>
        <v>42855</v>
      </c>
      <c r="B131" s="9">
        <f t="shared" si="35"/>
        <v>1009.86</v>
      </c>
      <c r="C131" s="9"/>
      <c r="D131" s="9"/>
      <c r="E131" s="9"/>
      <c r="F131" s="9"/>
      <c r="G131" s="9"/>
      <c r="H131" s="9"/>
      <c r="I131" s="9"/>
      <c r="J131" s="9"/>
      <c r="K131" s="9">
        <f t="shared" si="33"/>
        <v>1009.86</v>
      </c>
      <c r="M131" s="3">
        <v>1009.86</v>
      </c>
      <c r="N131" s="9">
        <f t="shared" si="34"/>
        <v>0</v>
      </c>
      <c r="O131" s="12"/>
    </row>
    <row r="132" spans="1:15" x14ac:dyDescent="0.3">
      <c r="A132" s="2">
        <f t="shared" si="36"/>
        <v>42886</v>
      </c>
      <c r="B132" s="9">
        <f t="shared" si="35"/>
        <v>1009.86</v>
      </c>
      <c r="C132" s="9"/>
      <c r="D132" s="9"/>
      <c r="E132" s="9"/>
      <c r="F132" s="9"/>
      <c r="G132" s="9"/>
      <c r="H132" s="9"/>
      <c r="I132" s="9"/>
      <c r="J132" s="9"/>
      <c r="K132" s="9">
        <f t="shared" si="33"/>
        <v>1009.86</v>
      </c>
      <c r="M132" s="3">
        <v>1009.86</v>
      </c>
      <c r="N132" s="9">
        <f>+K132-M132</f>
        <v>0</v>
      </c>
      <c r="O132" s="12"/>
    </row>
    <row r="133" spans="1:15" x14ac:dyDescent="0.3">
      <c r="A133" s="2">
        <f>+A132+30</f>
        <v>42916</v>
      </c>
      <c r="B133" s="9">
        <f t="shared" si="35"/>
        <v>1009.86</v>
      </c>
      <c r="C133" s="9"/>
      <c r="D133" s="9"/>
      <c r="E133" s="9"/>
      <c r="F133" s="9"/>
      <c r="G133" s="9"/>
      <c r="H133" s="9"/>
      <c r="I133" s="9"/>
      <c r="J133" s="9"/>
      <c r="K133" s="9">
        <f t="shared" si="33"/>
        <v>1009.86</v>
      </c>
      <c r="M133" s="3">
        <v>1009.86</v>
      </c>
      <c r="N133" s="16">
        <f>+K133-M133</f>
        <v>0</v>
      </c>
      <c r="O133" s="12"/>
    </row>
    <row r="134" spans="1:15" x14ac:dyDescent="0.3">
      <c r="B134" s="3"/>
      <c r="C134" s="9"/>
      <c r="D134" s="9"/>
      <c r="E134" s="9"/>
      <c r="F134" s="9"/>
      <c r="G134" s="9"/>
      <c r="H134" s="9"/>
      <c r="I134" s="9"/>
      <c r="J134" s="9"/>
      <c r="K134" s="9"/>
      <c r="O134" s="12"/>
    </row>
    <row r="135" spans="1:15" ht="15" thickBot="1" x14ac:dyDescent="0.35">
      <c r="A135" t="s">
        <v>16</v>
      </c>
      <c r="B135" s="3">
        <f>+B122</f>
        <v>1009.86</v>
      </c>
      <c r="C135" s="18">
        <f>SUM(C122:C133)</f>
        <v>0</v>
      </c>
      <c r="D135" s="18">
        <f t="shared" ref="D135:J135" si="37">SUM(D122:D133)</f>
        <v>0</v>
      </c>
      <c r="E135" s="18">
        <f t="shared" si="37"/>
        <v>0</v>
      </c>
      <c r="F135" s="18">
        <f t="shared" si="37"/>
        <v>0</v>
      </c>
      <c r="G135" s="18">
        <f t="shared" si="37"/>
        <v>0</v>
      </c>
      <c r="H135" s="18">
        <f t="shared" si="37"/>
        <v>0</v>
      </c>
      <c r="I135" s="18">
        <f t="shared" si="37"/>
        <v>0</v>
      </c>
      <c r="J135" s="18">
        <f t="shared" si="37"/>
        <v>0</v>
      </c>
      <c r="K135" s="18">
        <f>SUM(B135:J135)</f>
        <v>1009.86</v>
      </c>
      <c r="N135" s="5"/>
      <c r="O135" s="12"/>
    </row>
    <row r="136" spans="1:15" ht="15" thickTop="1" x14ac:dyDescent="0.3">
      <c r="O136" s="12"/>
    </row>
    <row r="138" spans="1:15" x14ac:dyDescent="0.3">
      <c r="A138" t="s">
        <v>55</v>
      </c>
    </row>
    <row r="139" spans="1:15" x14ac:dyDescent="0.3">
      <c r="B139" t="s">
        <v>56</v>
      </c>
      <c r="C139" s="44" t="s">
        <v>9</v>
      </c>
      <c r="D139" s="57">
        <v>11775.94</v>
      </c>
    </row>
    <row r="145" spans="1:10" x14ac:dyDescent="0.3">
      <c r="A145" s="12"/>
    </row>
    <row r="147" spans="1:10" x14ac:dyDescent="0.3">
      <c r="H147" s="52"/>
      <c r="I147" s="52"/>
    </row>
    <row r="148" spans="1:10" x14ac:dyDescent="0.3">
      <c r="H148" s="9"/>
      <c r="I148" s="9"/>
      <c r="J148" s="9"/>
    </row>
    <row r="149" spans="1:10" x14ac:dyDescent="0.3">
      <c r="H149" s="9"/>
      <c r="I149" s="9"/>
      <c r="J149" s="9"/>
    </row>
    <row r="150" spans="1:10" x14ac:dyDescent="0.3">
      <c r="H150" s="9"/>
      <c r="I150" s="9"/>
      <c r="J150" s="9"/>
    </row>
    <row r="151" spans="1:10" x14ac:dyDescent="0.3">
      <c r="H151" s="9"/>
      <c r="I151" s="9"/>
      <c r="J151" s="9"/>
    </row>
    <row r="152" spans="1:10" x14ac:dyDescent="0.3">
      <c r="H152" s="9"/>
      <c r="I152" s="9"/>
      <c r="J152" s="9"/>
    </row>
    <row r="153" spans="1:10" x14ac:dyDescent="0.3">
      <c r="H153" s="9"/>
      <c r="I153" s="9"/>
      <c r="J153" s="9"/>
    </row>
    <row r="154" spans="1:10" x14ac:dyDescent="0.3">
      <c r="H154" s="9"/>
      <c r="I154" s="9"/>
      <c r="J154" s="9"/>
    </row>
    <row r="155" spans="1:10" x14ac:dyDescent="0.3">
      <c r="H155" s="9"/>
      <c r="I155" s="9"/>
      <c r="J155" s="9"/>
    </row>
    <row r="156" spans="1:10" x14ac:dyDescent="0.3">
      <c r="H156" s="9"/>
      <c r="I156" s="9"/>
      <c r="J156" s="9"/>
    </row>
    <row r="157" spans="1:10" x14ac:dyDescent="0.3">
      <c r="H157" s="9"/>
      <c r="I157" s="9"/>
      <c r="J157" s="9"/>
    </row>
    <row r="158" spans="1:10" x14ac:dyDescent="0.3">
      <c r="H158" s="9"/>
      <c r="I158" s="9"/>
      <c r="J158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V129"/>
  <sheetViews>
    <sheetView topLeftCell="B1" zoomScale="90" zoomScaleNormal="90" workbookViewId="0">
      <pane ySplit="3" topLeftCell="A4" activePane="bottomLeft" state="frozen"/>
      <selection activeCell="O26" sqref="O26:P26"/>
      <selection pane="bottomLeft" activeCell="M73" sqref="M73"/>
    </sheetView>
  </sheetViews>
  <sheetFormatPr defaultColWidth="9.109375" defaultRowHeight="14.4" x14ac:dyDescent="0.3"/>
  <cols>
    <col min="1" max="1" width="18.109375" bestFit="1" customWidth="1"/>
    <col min="2" max="2" width="15.88671875" bestFit="1" customWidth="1"/>
    <col min="3" max="3" width="16.44140625" bestFit="1" customWidth="1"/>
    <col min="4" max="5" width="17.109375" bestFit="1" customWidth="1"/>
    <col min="6" max="6" width="12" bestFit="1" customWidth="1"/>
    <col min="7" max="7" width="15" bestFit="1" customWidth="1"/>
    <col min="8" max="8" width="13" bestFit="1" customWidth="1"/>
    <col min="9" max="9" width="16.44140625" bestFit="1" customWidth="1"/>
    <col min="10" max="10" width="12.109375" bestFit="1" customWidth="1"/>
    <col min="11" max="11" width="19.109375" bestFit="1" customWidth="1"/>
    <col min="12" max="12" width="2.5546875" customWidth="1"/>
    <col min="13" max="13" width="22.44140625" bestFit="1" customWidth="1"/>
    <col min="14" max="14" width="16.33203125" bestFit="1" customWidth="1"/>
    <col min="15" max="15" width="16.33203125" hidden="1" customWidth="1"/>
    <col min="16" max="16" width="11.33203125" bestFit="1" customWidth="1"/>
    <col min="17" max="17" width="7.44140625" bestFit="1" customWidth="1"/>
    <col min="18" max="18" width="32.109375" bestFit="1" customWidth="1"/>
    <col min="19" max="19" width="23.109375" bestFit="1" customWidth="1"/>
    <col min="20" max="20" width="12" bestFit="1" customWidth="1"/>
    <col min="21" max="22" width="14.109375" bestFit="1" customWidth="1"/>
  </cols>
  <sheetData>
    <row r="2" spans="1:22" ht="15.6" x14ac:dyDescent="0.3">
      <c r="A2" s="22" t="s">
        <v>0</v>
      </c>
    </row>
    <row r="3" spans="1:22" ht="15.6" x14ac:dyDescent="0.3">
      <c r="A3" s="22"/>
    </row>
    <row r="4" spans="1:22" ht="18" x14ac:dyDescent="0.3">
      <c r="A4" s="23">
        <v>2023</v>
      </c>
      <c r="T4" s="5"/>
    </row>
    <row r="5" spans="1:22" x14ac:dyDescent="0.3">
      <c r="A5" s="32" t="s">
        <v>48</v>
      </c>
      <c r="D5" s="5"/>
      <c r="M5" s="31" t="s">
        <v>50</v>
      </c>
    </row>
    <row r="6" spans="1:22" s="21" customFormat="1" x14ac:dyDescent="0.3">
      <c r="C6" s="21" t="s">
        <v>19</v>
      </c>
      <c r="D6" s="21" t="s">
        <v>20</v>
      </c>
      <c r="E6" s="21" t="s">
        <v>19</v>
      </c>
      <c r="F6" s="21" t="s">
        <v>19</v>
      </c>
      <c r="G6" s="21" t="s">
        <v>20</v>
      </c>
      <c r="H6" s="21" t="s">
        <v>20</v>
      </c>
      <c r="I6" s="21" t="s">
        <v>21</v>
      </c>
      <c r="J6" s="21" t="s">
        <v>20</v>
      </c>
      <c r="K6" s="21" t="s">
        <v>10</v>
      </c>
      <c r="M6" s="21" t="s">
        <v>9</v>
      </c>
      <c r="S6"/>
    </row>
    <row r="7" spans="1:22" x14ac:dyDescent="0.3">
      <c r="B7" s="4" t="s">
        <v>1</v>
      </c>
      <c r="C7" s="4" t="s">
        <v>2</v>
      </c>
      <c r="D7" s="4" t="s">
        <v>3</v>
      </c>
      <c r="E7" s="4" t="s">
        <v>12</v>
      </c>
      <c r="F7" s="4" t="s">
        <v>4</v>
      </c>
      <c r="G7" s="4" t="s">
        <v>5</v>
      </c>
      <c r="H7" s="4" t="s">
        <v>13</v>
      </c>
      <c r="I7" s="4" t="s">
        <v>6</v>
      </c>
      <c r="J7" s="4" t="s">
        <v>7</v>
      </c>
      <c r="K7" s="4" t="s">
        <v>8</v>
      </c>
      <c r="M7" s="6" t="s">
        <v>8</v>
      </c>
      <c r="N7" s="6" t="s">
        <v>14</v>
      </c>
      <c r="O7" s="7"/>
      <c r="P7" s="7"/>
    </row>
    <row r="8" spans="1:22" x14ac:dyDescent="0.3">
      <c r="A8" s="2">
        <v>44773</v>
      </c>
      <c r="B8" s="9">
        <v>0</v>
      </c>
      <c r="C8" s="9">
        <v>8839297.7899999991</v>
      </c>
      <c r="D8" s="9">
        <v>-6611346.7599999998</v>
      </c>
      <c r="E8" s="9">
        <v>7242.89</v>
      </c>
      <c r="F8" s="9"/>
      <c r="G8" s="9"/>
      <c r="H8" s="9"/>
      <c r="I8" s="9"/>
      <c r="J8" s="9"/>
      <c r="K8" s="9">
        <f>SUM(B8:J8)</f>
        <v>2235193.9199999995</v>
      </c>
      <c r="M8" s="9">
        <v>-5984460.3399999999</v>
      </c>
      <c r="N8" s="9">
        <f>+K8-M8</f>
        <v>8219654.2599999998</v>
      </c>
      <c r="O8" s="9"/>
      <c r="P8" s="5" t="s">
        <v>51</v>
      </c>
      <c r="U8" s="5"/>
      <c r="V8" s="5"/>
    </row>
    <row r="9" spans="1:22" x14ac:dyDescent="0.3">
      <c r="A9" s="2">
        <f>+A8+31</f>
        <v>44804</v>
      </c>
      <c r="B9" s="9">
        <f>+K8</f>
        <v>2235193.9199999995</v>
      </c>
      <c r="C9" s="9"/>
      <c r="D9" s="9">
        <v>-1882677.61</v>
      </c>
      <c r="E9" s="9">
        <v>9952.5400000000009</v>
      </c>
      <c r="F9" s="9"/>
      <c r="G9" s="9"/>
      <c r="H9" s="9"/>
      <c r="I9" s="9"/>
      <c r="J9" s="9"/>
      <c r="K9" s="9">
        <f t="shared" ref="K9:K19" si="0">SUM(B9:J9)</f>
        <v>362468.84999999934</v>
      </c>
      <c r="M9" s="9">
        <f>-2492368.6+M8</f>
        <v>-8476828.9399999995</v>
      </c>
      <c r="N9" s="9">
        <f>+K9-M9</f>
        <v>8839297.7899999991</v>
      </c>
      <c r="O9" s="9">
        <f>+N8-N9</f>
        <v>-619643.52999999933</v>
      </c>
      <c r="S9" s="3"/>
      <c r="U9" s="5"/>
      <c r="V9" s="5"/>
    </row>
    <row r="10" spans="1:22" x14ac:dyDescent="0.3">
      <c r="A10" s="2">
        <f>+A9+30</f>
        <v>44834</v>
      </c>
      <c r="B10" s="9">
        <f t="shared" ref="B10:B19" si="1">+K9</f>
        <v>362468.84999999934</v>
      </c>
      <c r="C10" s="9"/>
      <c r="D10" s="9">
        <v>-473163.58</v>
      </c>
      <c r="E10" s="9"/>
      <c r="F10" s="9"/>
      <c r="G10" s="9"/>
      <c r="H10" s="9"/>
      <c r="I10" s="9"/>
      <c r="J10" s="9"/>
      <c r="K10" s="9">
        <f t="shared" si="0"/>
        <v>-110694.73000000068</v>
      </c>
      <c r="M10" s="9">
        <f>-385456.48+M9</f>
        <v>-8862285.4199999999</v>
      </c>
      <c r="N10" s="9">
        <f t="shared" ref="N10:N13" si="2">+K10-M10</f>
        <v>8751590.6899999995</v>
      </c>
      <c r="O10" s="9">
        <f>+N9-N10</f>
        <v>87707.099999999627</v>
      </c>
      <c r="S10" s="3"/>
      <c r="U10" s="5"/>
      <c r="V10" s="5"/>
    </row>
    <row r="11" spans="1:22" x14ac:dyDescent="0.3">
      <c r="A11" s="2">
        <f t="shared" ref="A11:A18" si="3">+A10+31</f>
        <v>44865</v>
      </c>
      <c r="B11" s="9">
        <f t="shared" si="1"/>
        <v>-110694.73000000068</v>
      </c>
      <c r="C11" s="9">
        <v>8837763.4199999999</v>
      </c>
      <c r="D11" s="9">
        <v>-3378829.45</v>
      </c>
      <c r="E11" s="9">
        <v>3274.25</v>
      </c>
      <c r="F11" s="9"/>
      <c r="G11" s="9"/>
      <c r="H11" s="9"/>
      <c r="I11" s="9"/>
      <c r="J11" s="9"/>
      <c r="K11" s="9">
        <f t="shared" si="0"/>
        <v>5351513.4899999993</v>
      </c>
      <c r="M11" s="9">
        <f>-3140120.42+M10</f>
        <v>-12002405.84</v>
      </c>
      <c r="N11" s="9">
        <f t="shared" si="2"/>
        <v>17353919.329999998</v>
      </c>
      <c r="O11" s="9">
        <f t="shared" ref="O11:O17" si="4">+N10-N11</f>
        <v>-8602328.6399999987</v>
      </c>
      <c r="S11" s="3"/>
      <c r="U11" s="5"/>
      <c r="V11" s="5"/>
    </row>
    <row r="12" spans="1:22" x14ac:dyDescent="0.3">
      <c r="A12" s="2">
        <f>+A11+30</f>
        <v>44895</v>
      </c>
      <c r="B12" s="9">
        <f t="shared" si="1"/>
        <v>5351513.4899999993</v>
      </c>
      <c r="C12" s="9"/>
      <c r="D12" s="9">
        <v>-4864079.38</v>
      </c>
      <c r="E12" s="9"/>
      <c r="F12" s="9"/>
      <c r="G12" s="9"/>
      <c r="H12" s="9"/>
      <c r="I12" s="9"/>
      <c r="J12" s="9"/>
      <c r="K12" s="9">
        <f t="shared" si="0"/>
        <v>487434.1099999994</v>
      </c>
      <c r="M12" s="9">
        <f>-5059343.55+M11</f>
        <v>-17061749.390000001</v>
      </c>
      <c r="N12" s="9">
        <f t="shared" si="2"/>
        <v>17549183.5</v>
      </c>
      <c r="O12" s="9">
        <f t="shared" si="4"/>
        <v>-195264.17000000179</v>
      </c>
      <c r="S12" s="3"/>
      <c r="U12" s="5"/>
      <c r="V12" s="5"/>
    </row>
    <row r="13" spans="1:22" x14ac:dyDescent="0.3">
      <c r="A13" s="2">
        <f t="shared" si="3"/>
        <v>44926</v>
      </c>
      <c r="B13" s="9">
        <f t="shared" si="1"/>
        <v>487434.1099999994</v>
      </c>
      <c r="C13" s="9"/>
      <c r="D13" s="9">
        <v>-138597.19</v>
      </c>
      <c r="E13" s="9"/>
      <c r="F13" s="9"/>
      <c r="G13" s="9"/>
      <c r="H13" s="9"/>
      <c r="I13" s="9"/>
      <c r="J13" s="9"/>
      <c r="K13" s="9">
        <f t="shared" si="0"/>
        <v>348836.9199999994</v>
      </c>
      <c r="M13" s="9">
        <f>+M12+35419011.37</f>
        <v>18357261.979999997</v>
      </c>
      <c r="N13" s="9">
        <f t="shared" si="2"/>
        <v>-18008425.059999999</v>
      </c>
      <c r="O13" s="9">
        <f t="shared" si="4"/>
        <v>35557608.560000002</v>
      </c>
      <c r="R13" t="s">
        <v>84</v>
      </c>
      <c r="S13" s="3">
        <v>-4723.6000000000004</v>
      </c>
      <c r="T13" t="s">
        <v>86</v>
      </c>
      <c r="U13" s="5"/>
      <c r="V13" s="5"/>
    </row>
    <row r="14" spans="1:22" x14ac:dyDescent="0.3">
      <c r="A14" s="2">
        <f t="shared" si="3"/>
        <v>44957</v>
      </c>
      <c r="B14" s="9">
        <f t="shared" si="1"/>
        <v>348836.9199999994</v>
      </c>
      <c r="C14" s="9">
        <v>8983560.2599999998</v>
      </c>
      <c r="D14" s="9">
        <v>-7380397.21</v>
      </c>
      <c r="E14" s="9">
        <v>10006.18</v>
      </c>
      <c r="F14" s="9"/>
      <c r="G14" s="9"/>
      <c r="H14" s="9">
        <v>-6383.53</v>
      </c>
      <c r="I14" s="41">
        <f>-185811.36+137328.25</f>
        <v>-48483.109999999986</v>
      </c>
      <c r="J14" s="9"/>
      <c r="K14" s="9">
        <f t="shared" si="0"/>
        <v>1907139.5099999998</v>
      </c>
      <c r="M14" s="9">
        <f>+M13-4159359.82</f>
        <v>14197902.159999996</v>
      </c>
      <c r="N14" s="9">
        <f>+K14-M14</f>
        <v>-12290762.649999997</v>
      </c>
      <c r="O14" s="9">
        <f t="shared" si="4"/>
        <v>-5717662.410000002</v>
      </c>
      <c r="P14" s="5"/>
      <c r="R14" t="s">
        <v>85</v>
      </c>
      <c r="S14" s="3">
        <v>4761.96</v>
      </c>
      <c r="T14" t="s">
        <v>87</v>
      </c>
      <c r="U14" s="5"/>
      <c r="V14" s="5"/>
    </row>
    <row r="15" spans="1:22" x14ac:dyDescent="0.3">
      <c r="A15" s="2">
        <f>+A14+28</f>
        <v>44985</v>
      </c>
      <c r="B15" s="9">
        <f t="shared" si="1"/>
        <v>1907139.5099999998</v>
      </c>
      <c r="C15" s="9"/>
      <c r="D15" s="9">
        <v>-1429134.33</v>
      </c>
      <c r="E15" s="9">
        <v>10561.01</v>
      </c>
      <c r="F15" s="9"/>
      <c r="G15" s="9"/>
      <c r="H15" s="42">
        <v>-15579.05</v>
      </c>
      <c r="I15" s="41">
        <f>-45690.08+45685.28-10.41</f>
        <v>-15.210000000002911</v>
      </c>
      <c r="J15" s="9"/>
      <c r="K15" s="9">
        <f t="shared" si="0"/>
        <v>472971.9299999997</v>
      </c>
      <c r="M15" s="9">
        <f>+M14-4646737.62</f>
        <v>9551164.5399999954</v>
      </c>
      <c r="N15" s="9">
        <f t="shared" ref="N15:N18" si="5">+K15-M15</f>
        <v>-9078192.6099999957</v>
      </c>
      <c r="O15" s="9">
        <f t="shared" si="4"/>
        <v>-3212570.040000001</v>
      </c>
      <c r="P15" s="5"/>
      <c r="S15" s="3"/>
      <c r="U15" s="5"/>
      <c r="V15" s="5"/>
    </row>
    <row r="16" spans="1:22" x14ac:dyDescent="0.3">
      <c r="A16" s="2">
        <f t="shared" si="3"/>
        <v>45016</v>
      </c>
      <c r="B16" s="9">
        <f t="shared" si="1"/>
        <v>472971.9299999997</v>
      </c>
      <c r="C16" s="9"/>
      <c r="D16" s="9">
        <v>-198555.77</v>
      </c>
      <c r="E16" s="9">
        <v>15291.29</v>
      </c>
      <c r="F16" s="9">
        <v>5408.29</v>
      </c>
      <c r="G16" s="9">
        <v>-50662.86</v>
      </c>
      <c r="H16" s="9">
        <v>-800</v>
      </c>
      <c r="I16" s="41"/>
      <c r="J16" s="9"/>
      <c r="K16" s="9">
        <f t="shared" si="0"/>
        <v>243652.87999999966</v>
      </c>
      <c r="M16" s="9">
        <f>+M15-211506.17</f>
        <v>9339658.3699999955</v>
      </c>
      <c r="N16" s="9">
        <f t="shared" si="5"/>
        <v>-9096005.4899999965</v>
      </c>
      <c r="O16" s="9">
        <f t="shared" si="4"/>
        <v>17812.88000000082</v>
      </c>
      <c r="P16" s="5"/>
      <c r="U16" s="5"/>
      <c r="V16" s="5"/>
    </row>
    <row r="17" spans="1:22" x14ac:dyDescent="0.3">
      <c r="A17" s="2">
        <f>+A16+30</f>
        <v>45046</v>
      </c>
      <c r="B17" s="9">
        <f t="shared" si="1"/>
        <v>243652.87999999966</v>
      </c>
      <c r="C17" s="9">
        <v>9022923.9399999995</v>
      </c>
      <c r="D17" s="9">
        <v>-6613992.6799999997</v>
      </c>
      <c r="E17" s="9">
        <v>10923.68</v>
      </c>
      <c r="F17" s="9"/>
      <c r="G17" s="9"/>
      <c r="H17" s="9"/>
      <c r="I17" s="41">
        <v>-422.02</v>
      </c>
      <c r="J17" s="9"/>
      <c r="K17" s="9">
        <f t="shared" si="0"/>
        <v>2663085.7999999989</v>
      </c>
      <c r="M17" s="9">
        <f>+M16-6581649.24</f>
        <v>2758009.1299999952</v>
      </c>
      <c r="N17" s="9">
        <f t="shared" si="5"/>
        <v>-94923.329999996349</v>
      </c>
      <c r="O17" s="9">
        <f t="shared" si="4"/>
        <v>-9001082.1600000001</v>
      </c>
      <c r="P17" s="5"/>
      <c r="Q17" s="5"/>
      <c r="S17" s="3"/>
      <c r="U17" s="5"/>
      <c r="V17" s="5"/>
    </row>
    <row r="18" spans="1:22" x14ac:dyDescent="0.3">
      <c r="A18" s="2">
        <f t="shared" si="3"/>
        <v>45077</v>
      </c>
      <c r="B18" s="9">
        <f t="shared" si="1"/>
        <v>2663085.7999999989</v>
      </c>
      <c r="C18" s="9"/>
      <c r="D18" s="9">
        <v>-2058177.49</v>
      </c>
      <c r="E18" s="9">
        <v>3487.08</v>
      </c>
      <c r="F18" s="25"/>
      <c r="G18" s="9"/>
      <c r="H18" s="9">
        <v>-740</v>
      </c>
      <c r="I18" s="41">
        <v>-7.58</v>
      </c>
      <c r="J18" s="9"/>
      <c r="K18" s="9">
        <f t="shared" si="0"/>
        <v>607647.80999999889</v>
      </c>
      <c r="M18" s="9">
        <f>+M17-2086563.9</f>
        <v>671445.22999999532</v>
      </c>
      <c r="N18" s="9">
        <f t="shared" si="5"/>
        <v>-63797.419999996433</v>
      </c>
      <c r="O18" s="9"/>
      <c r="P18" s="5"/>
      <c r="Q18" s="5"/>
    </row>
    <row r="19" spans="1:22" ht="15" thickBot="1" x14ac:dyDescent="0.35">
      <c r="A19" s="2">
        <f>+A18+30</f>
        <v>45107</v>
      </c>
      <c r="B19" s="9">
        <f t="shared" si="1"/>
        <v>607647.80999999889</v>
      </c>
      <c r="C19" s="9"/>
      <c r="D19" s="9">
        <v>-293819.01</v>
      </c>
      <c r="E19" s="9"/>
      <c r="F19" s="42">
        <v>65035.85</v>
      </c>
      <c r="G19" s="9"/>
      <c r="H19" s="9"/>
      <c r="I19" s="41">
        <f>106.12-106.04</f>
        <v>7.9999999999998295E-2</v>
      </c>
      <c r="J19" s="9"/>
      <c r="K19" s="9">
        <f t="shared" si="0"/>
        <v>378864.72999999888</v>
      </c>
      <c r="M19" s="9">
        <v>378826.37</v>
      </c>
      <c r="N19" s="9">
        <f>+K19-M19</f>
        <v>38.359999998880085</v>
      </c>
      <c r="O19" s="9"/>
      <c r="P19" s="5"/>
      <c r="Q19" s="5"/>
      <c r="R19" t="s">
        <v>53</v>
      </c>
      <c r="S19" s="8">
        <f>SUM(S10:S18)</f>
        <v>38.359999999999673</v>
      </c>
    </row>
    <row r="20" spans="1:22" ht="15.6" thickTop="1" thickBot="1" x14ac:dyDescent="0.35">
      <c r="A20" t="s">
        <v>16</v>
      </c>
      <c r="B20" s="9"/>
      <c r="C20" s="18">
        <f t="shared" ref="C20" si="6">SUM(C8:C19)</f>
        <v>35683545.409999996</v>
      </c>
      <c r="D20" s="18">
        <f t="shared" ref="D20" si="7">SUM(D8:D19)</f>
        <v>-35322770.459999993</v>
      </c>
      <c r="E20" s="18">
        <f t="shared" ref="E20" si="8">SUM(E8:E19)</f>
        <v>70738.92</v>
      </c>
      <c r="F20" s="18">
        <f t="shared" ref="F20" si="9">SUM(F8:F19)</f>
        <v>70444.14</v>
      </c>
      <c r="G20" s="18">
        <f t="shared" ref="G20" si="10">SUM(G8:G19)</f>
        <v>-50662.86</v>
      </c>
      <c r="H20" s="18">
        <f t="shared" ref="H20" si="11">SUM(H8:H19)</f>
        <v>-23502.579999999998</v>
      </c>
      <c r="I20" s="18">
        <f t="shared" ref="I20" si="12">SUM(I8:I19)</f>
        <v>-48927.839999999989</v>
      </c>
      <c r="J20" s="18">
        <f t="shared" ref="J20" si="13">SUM(J8:J19)</f>
        <v>0</v>
      </c>
      <c r="K20" s="18">
        <f>SUM(B20:J20)</f>
        <v>378864.73000000301</v>
      </c>
      <c r="M20" s="27"/>
      <c r="N20" s="9"/>
      <c r="O20" s="9"/>
      <c r="P20" s="9"/>
      <c r="Q20" s="5"/>
      <c r="S20" s="5"/>
    </row>
    <row r="21" spans="1:22" ht="15" thickTop="1" x14ac:dyDescent="0.3">
      <c r="O21" s="5"/>
    </row>
    <row r="22" spans="1:22" ht="18" x14ac:dyDescent="0.3">
      <c r="A22" s="23">
        <v>2022</v>
      </c>
      <c r="K22">
        <v>73809.11</v>
      </c>
    </row>
    <row r="23" spans="1:22" x14ac:dyDescent="0.3">
      <c r="A23" s="32" t="s">
        <v>44</v>
      </c>
      <c r="D23" s="5"/>
      <c r="K23" s="5">
        <v>6136.41</v>
      </c>
      <c r="M23" s="31" t="s">
        <v>45</v>
      </c>
    </row>
    <row r="24" spans="1:22" s="21" customFormat="1" x14ac:dyDescent="0.3">
      <c r="C24" s="21" t="s">
        <v>19</v>
      </c>
      <c r="D24" s="21" t="s">
        <v>20</v>
      </c>
      <c r="E24" s="21" t="s">
        <v>19</v>
      </c>
      <c r="F24" s="21" t="s">
        <v>19</v>
      </c>
      <c r="G24" s="21" t="s">
        <v>20</v>
      </c>
      <c r="H24" s="21" t="s">
        <v>20</v>
      </c>
      <c r="I24" s="21" t="s">
        <v>21</v>
      </c>
      <c r="J24" s="21" t="s">
        <v>20</v>
      </c>
      <c r="K24" s="21" t="s">
        <v>10</v>
      </c>
      <c r="M24" s="21" t="s">
        <v>9</v>
      </c>
      <c r="Q24"/>
      <c r="R24"/>
      <c r="S24"/>
      <c r="T24"/>
    </row>
    <row r="25" spans="1:22" x14ac:dyDescent="0.3">
      <c r="B25" s="4" t="s">
        <v>1</v>
      </c>
      <c r="C25" s="4" t="s">
        <v>2</v>
      </c>
      <c r="D25" s="4" t="s">
        <v>3</v>
      </c>
      <c r="E25" s="4" t="s">
        <v>12</v>
      </c>
      <c r="F25" s="4" t="s">
        <v>4</v>
      </c>
      <c r="G25" s="4" t="s">
        <v>5</v>
      </c>
      <c r="H25" s="4" t="s">
        <v>13</v>
      </c>
      <c r="I25" s="4" t="s">
        <v>6</v>
      </c>
      <c r="J25" s="4" t="s">
        <v>7</v>
      </c>
      <c r="K25" s="4" t="s">
        <v>8</v>
      </c>
      <c r="M25" s="6" t="s">
        <v>8</v>
      </c>
      <c r="N25" s="6" t="s">
        <v>14</v>
      </c>
      <c r="O25" s="7"/>
      <c r="P25" s="7"/>
    </row>
    <row r="26" spans="1:22" x14ac:dyDescent="0.3">
      <c r="A26" s="2">
        <v>44773</v>
      </c>
      <c r="B26" s="9">
        <v>608486.38</v>
      </c>
      <c r="C26" s="9"/>
      <c r="D26" s="9">
        <v>-53445.62</v>
      </c>
      <c r="E26" s="9"/>
      <c r="F26" s="9"/>
      <c r="G26" s="9"/>
      <c r="H26" s="9"/>
      <c r="I26" s="9"/>
      <c r="J26" s="9"/>
      <c r="K26" s="9">
        <f>SUM(B26:J26)</f>
        <v>555040.76</v>
      </c>
      <c r="M26" s="9">
        <v>602575.72</v>
      </c>
      <c r="N26" s="9">
        <f>+K26-M26</f>
        <v>-47534.959999999963</v>
      </c>
      <c r="O26" s="9"/>
      <c r="P26" s="5"/>
      <c r="U26" s="5"/>
      <c r="V26" s="5"/>
    </row>
    <row r="27" spans="1:22" x14ac:dyDescent="0.3">
      <c r="A27" s="2">
        <f>+A26+31</f>
        <v>44804</v>
      </c>
      <c r="B27" s="9">
        <f>+K26</f>
        <v>555040.76</v>
      </c>
      <c r="C27" s="9"/>
      <c r="D27" s="9">
        <v>-59781.63</v>
      </c>
      <c r="E27" s="9"/>
      <c r="F27" s="9">
        <v>12730.77</v>
      </c>
      <c r="G27" s="9"/>
      <c r="H27" s="9"/>
      <c r="I27" s="41">
        <f>-2.44+3.49</f>
        <v>1.0500000000000003</v>
      </c>
      <c r="J27" s="9"/>
      <c r="K27" s="9">
        <f t="shared" ref="K27:K37" si="14">SUM(B27:J27)</f>
        <v>507990.95</v>
      </c>
      <c r="M27" s="9">
        <f>+M26-94438.87</f>
        <v>508136.85</v>
      </c>
      <c r="N27" s="9">
        <f>+K27-M27</f>
        <v>-145.89999999996508</v>
      </c>
      <c r="O27" s="9">
        <f>+N26-N27</f>
        <v>-47389.06</v>
      </c>
      <c r="U27" s="5"/>
      <c r="V27" s="5"/>
    </row>
    <row r="28" spans="1:22" x14ac:dyDescent="0.3">
      <c r="A28" s="2">
        <f>+A27+30</f>
        <v>44834</v>
      </c>
      <c r="B28" s="9">
        <f t="shared" ref="B28:B37" si="15">+K27</f>
        <v>507990.95</v>
      </c>
      <c r="C28" s="9"/>
      <c r="D28" s="9">
        <v>-160378.28</v>
      </c>
      <c r="E28" s="9"/>
      <c r="F28" s="9"/>
      <c r="G28" s="9"/>
      <c r="H28" s="9"/>
      <c r="I28" s="9"/>
      <c r="J28" s="9"/>
      <c r="K28" s="9">
        <f t="shared" si="14"/>
        <v>347612.67000000004</v>
      </c>
      <c r="M28" s="9">
        <f>+M27-160378.28</f>
        <v>347758.56999999995</v>
      </c>
      <c r="N28" s="9">
        <f t="shared" ref="N28:N36" si="16">+K28-M28</f>
        <v>-145.89999999990687</v>
      </c>
      <c r="O28" s="9">
        <f>+N27-N28</f>
        <v>-5.8207660913467407E-11</v>
      </c>
      <c r="U28" s="5"/>
      <c r="V28" s="5"/>
    </row>
    <row r="29" spans="1:22" x14ac:dyDescent="0.3">
      <c r="A29" s="2">
        <f t="shared" ref="A29:A36" si="17">+A28+31</f>
        <v>44865</v>
      </c>
      <c r="B29" s="9">
        <f t="shared" si="15"/>
        <v>347612.67000000004</v>
      </c>
      <c r="C29" s="9">
        <v>42672.49</v>
      </c>
      <c r="D29" s="9">
        <v>-65906.320000000007</v>
      </c>
      <c r="E29" s="9">
        <v>9839.09</v>
      </c>
      <c r="F29" s="9"/>
      <c r="G29" s="9"/>
      <c r="H29" s="9"/>
      <c r="I29" s="9"/>
      <c r="J29" s="9"/>
      <c r="K29" s="9">
        <f t="shared" si="14"/>
        <v>334217.93000000005</v>
      </c>
      <c r="M29" s="9">
        <f>+M28-56067.23</f>
        <v>291691.33999999997</v>
      </c>
      <c r="N29" s="9">
        <f t="shared" si="16"/>
        <v>42526.590000000084</v>
      </c>
      <c r="O29" s="9">
        <f t="shared" ref="O29:O35" si="18">+N28-N29</f>
        <v>-42672.489999999991</v>
      </c>
      <c r="U29" s="5"/>
      <c r="V29" s="5"/>
    </row>
    <row r="30" spans="1:22" x14ac:dyDescent="0.3">
      <c r="A30" s="2">
        <f>+A29+30</f>
        <v>44895</v>
      </c>
      <c r="B30" s="9">
        <f t="shared" si="15"/>
        <v>334217.93000000005</v>
      </c>
      <c r="C30" s="9"/>
      <c r="D30" s="9">
        <f>-27057.24-34883.41</f>
        <v>-61940.650000000009</v>
      </c>
      <c r="E30" s="9"/>
      <c r="F30" s="9">
        <v>4998.26</v>
      </c>
      <c r="G30" s="9"/>
      <c r="H30" s="9"/>
      <c r="I30" s="9"/>
      <c r="J30" s="9"/>
      <c r="K30" s="9">
        <f t="shared" si="14"/>
        <v>277275.54000000004</v>
      </c>
      <c r="M30" s="9">
        <f>+M29-11008.73</f>
        <v>280682.61</v>
      </c>
      <c r="N30" s="9">
        <f t="shared" si="16"/>
        <v>-3407.0699999999488</v>
      </c>
      <c r="O30" s="9">
        <f t="shared" si="18"/>
        <v>45933.660000000033</v>
      </c>
      <c r="U30" s="5"/>
      <c r="V30" s="5"/>
    </row>
    <row r="31" spans="1:22" x14ac:dyDescent="0.3">
      <c r="A31" s="2">
        <f t="shared" si="17"/>
        <v>44926</v>
      </c>
      <c r="B31" s="9">
        <f t="shared" si="15"/>
        <v>277275.54000000004</v>
      </c>
      <c r="C31" s="9"/>
      <c r="D31" s="9">
        <f>-9478.84-43448.7</f>
        <v>-52927.539999999994</v>
      </c>
      <c r="E31" s="9"/>
      <c r="F31" s="9"/>
      <c r="G31" s="9"/>
      <c r="H31" s="9"/>
      <c r="I31" s="9"/>
      <c r="J31" s="9"/>
      <c r="K31" s="9">
        <f t="shared" si="14"/>
        <v>224348.00000000006</v>
      </c>
      <c r="M31" s="9">
        <f>+M30-62325.12</f>
        <v>218357.49</v>
      </c>
      <c r="N31" s="9">
        <f t="shared" si="16"/>
        <v>5990.5100000000675</v>
      </c>
      <c r="O31" s="9">
        <f t="shared" si="18"/>
        <v>-9397.5800000000163</v>
      </c>
      <c r="U31" s="5"/>
      <c r="V31" s="5"/>
    </row>
    <row r="32" spans="1:22" x14ac:dyDescent="0.3">
      <c r="A32" s="2">
        <f t="shared" si="17"/>
        <v>44957</v>
      </c>
      <c r="B32" s="9">
        <f t="shared" si="15"/>
        <v>224348.00000000006</v>
      </c>
      <c r="C32" s="9"/>
      <c r="D32" s="9">
        <v>-3270.4</v>
      </c>
      <c r="E32" s="9"/>
      <c r="F32" s="9"/>
      <c r="G32" s="9"/>
      <c r="H32" s="9"/>
      <c r="I32" s="9"/>
      <c r="J32" s="9"/>
      <c r="K32" s="9">
        <f t="shared" si="14"/>
        <v>221077.60000000006</v>
      </c>
      <c r="M32" s="9">
        <f>+M31-27.66</f>
        <v>218329.83</v>
      </c>
      <c r="N32" s="9">
        <f>+K32-M32</f>
        <v>2747.7700000000768</v>
      </c>
      <c r="O32" s="9">
        <f t="shared" si="18"/>
        <v>3242.7399999999907</v>
      </c>
      <c r="U32" s="5"/>
      <c r="V32" s="5"/>
    </row>
    <row r="33" spans="1:22" x14ac:dyDescent="0.3">
      <c r="A33" s="2">
        <f>+A32+28</f>
        <v>44985</v>
      </c>
      <c r="B33" s="9">
        <f t="shared" si="15"/>
        <v>221077.60000000006</v>
      </c>
      <c r="C33" s="9"/>
      <c r="D33" s="9">
        <v>-35802.71</v>
      </c>
      <c r="E33" s="9"/>
      <c r="F33" s="9"/>
      <c r="G33" s="9"/>
      <c r="H33" s="9"/>
      <c r="I33" s="9"/>
      <c r="J33" s="9"/>
      <c r="K33" s="9">
        <f t="shared" si="14"/>
        <v>185274.89000000007</v>
      </c>
      <c r="M33" s="9">
        <f>+M32-39045.45</f>
        <v>179284.38</v>
      </c>
      <c r="N33" s="9">
        <f t="shared" si="16"/>
        <v>5990.5100000000675</v>
      </c>
      <c r="O33" s="9">
        <f t="shared" si="18"/>
        <v>-3242.7399999999907</v>
      </c>
      <c r="U33" s="5"/>
      <c r="V33" s="5"/>
    </row>
    <row r="34" spans="1:22" x14ac:dyDescent="0.3">
      <c r="A34" s="2">
        <f t="shared" si="17"/>
        <v>45016</v>
      </c>
      <c r="B34" s="9">
        <f t="shared" si="15"/>
        <v>185274.89000000007</v>
      </c>
      <c r="C34" s="9"/>
      <c r="D34" s="9">
        <v>-52244.04</v>
      </c>
      <c r="E34" s="9"/>
      <c r="F34" s="9"/>
      <c r="G34" s="9"/>
      <c r="H34" s="9"/>
      <c r="I34" s="9"/>
      <c r="J34" s="9"/>
      <c r="K34" s="9">
        <f t="shared" si="14"/>
        <v>133030.85000000006</v>
      </c>
      <c r="M34" s="9">
        <f>+M33-2281.94</f>
        <v>177002.44</v>
      </c>
      <c r="N34" s="9">
        <f t="shared" si="16"/>
        <v>-43971.589999999938</v>
      </c>
      <c r="O34" s="9">
        <f t="shared" si="18"/>
        <v>49962.100000000006</v>
      </c>
      <c r="U34" s="5"/>
      <c r="V34" s="5"/>
    </row>
    <row r="35" spans="1:22" x14ac:dyDescent="0.3">
      <c r="A35" s="2">
        <f>+A34+30</f>
        <v>45046</v>
      </c>
      <c r="B35" s="9">
        <f t="shared" si="15"/>
        <v>133030.85000000006</v>
      </c>
      <c r="C35" s="9"/>
      <c r="D35" s="9">
        <v>0</v>
      </c>
      <c r="E35" s="9"/>
      <c r="F35" s="9"/>
      <c r="G35" s="9"/>
      <c r="H35" s="9"/>
      <c r="I35" s="9"/>
      <c r="J35" s="9"/>
      <c r="K35" s="9">
        <f t="shared" si="14"/>
        <v>133030.85000000006</v>
      </c>
      <c r="M35" s="9">
        <f>+M34-49962.1</f>
        <v>127040.34</v>
      </c>
      <c r="N35" s="9">
        <f t="shared" si="16"/>
        <v>5990.5100000000675</v>
      </c>
      <c r="O35" s="9">
        <f t="shared" si="18"/>
        <v>-49962.100000000006</v>
      </c>
      <c r="P35" s="5"/>
      <c r="U35" s="5"/>
      <c r="V35" s="5"/>
    </row>
    <row r="36" spans="1:22" x14ac:dyDescent="0.3">
      <c r="A36" s="2">
        <f t="shared" si="17"/>
        <v>45077</v>
      </c>
      <c r="B36" s="9">
        <f t="shared" si="15"/>
        <v>133030.85000000006</v>
      </c>
      <c r="C36" s="9"/>
      <c r="D36" s="9">
        <v>-30741.75</v>
      </c>
      <c r="E36" s="9"/>
      <c r="F36" s="25"/>
      <c r="G36" s="9"/>
      <c r="H36" s="9"/>
      <c r="I36" s="9"/>
      <c r="J36" s="41">
        <v>-22343.58</v>
      </c>
      <c r="K36" s="9">
        <f t="shared" si="14"/>
        <v>79945.520000000062</v>
      </c>
      <c r="M36" s="9">
        <f>+M35-30741.75</f>
        <v>96298.59</v>
      </c>
      <c r="N36" s="9">
        <f t="shared" si="16"/>
        <v>-16353.069999999934</v>
      </c>
      <c r="O36" s="9"/>
      <c r="P36" s="5"/>
    </row>
    <row r="37" spans="1:22" x14ac:dyDescent="0.3">
      <c r="A37" s="2">
        <f>+A36+30</f>
        <v>45107</v>
      </c>
      <c r="B37" s="9">
        <f t="shared" si="15"/>
        <v>79945.520000000062</v>
      </c>
      <c r="C37" s="9"/>
      <c r="D37" s="9">
        <v>-11224.37</v>
      </c>
      <c r="E37" s="9"/>
      <c r="F37" s="9"/>
      <c r="G37" s="9"/>
      <c r="H37" s="9"/>
      <c r="I37" s="9"/>
      <c r="J37" s="9"/>
      <c r="K37" s="9">
        <f t="shared" si="14"/>
        <v>68721.150000000067</v>
      </c>
      <c r="M37" s="9">
        <v>68721.149999999994</v>
      </c>
      <c r="N37" s="15">
        <f>+K37-M37</f>
        <v>0</v>
      </c>
      <c r="O37" s="9"/>
      <c r="P37" s="5"/>
    </row>
    <row r="38" spans="1:22" ht="15" thickBot="1" x14ac:dyDescent="0.35">
      <c r="A38" t="s">
        <v>16</v>
      </c>
      <c r="B38" s="9"/>
      <c r="C38" s="18">
        <f t="shared" ref="C38:J38" si="19">SUM(C26:C37)</f>
        <v>42672.49</v>
      </c>
      <c r="D38" s="18">
        <f t="shared" si="19"/>
        <v>-587663.31000000006</v>
      </c>
      <c r="E38" s="18">
        <f t="shared" si="19"/>
        <v>9839.09</v>
      </c>
      <c r="F38" s="18">
        <f t="shared" si="19"/>
        <v>17729.03</v>
      </c>
      <c r="G38" s="18">
        <f t="shared" si="19"/>
        <v>0</v>
      </c>
      <c r="H38" s="18">
        <f t="shared" si="19"/>
        <v>0</v>
      </c>
      <c r="I38" s="18">
        <f t="shared" si="19"/>
        <v>1.0500000000000003</v>
      </c>
      <c r="J38" s="18">
        <f t="shared" si="19"/>
        <v>-22343.58</v>
      </c>
      <c r="K38" s="18">
        <f>SUM(B38:J38)</f>
        <v>-539765.2300000001</v>
      </c>
      <c r="M38" s="27"/>
      <c r="N38" s="9"/>
      <c r="O38" s="9"/>
      <c r="P38" s="9"/>
      <c r="Q38" s="5"/>
    </row>
    <row r="39" spans="1:22" ht="15" thickTop="1" x14ac:dyDescent="0.3">
      <c r="O39" s="5"/>
    </row>
    <row r="40" spans="1:22" ht="18" x14ac:dyDescent="0.3">
      <c r="A40" s="23">
        <v>2021</v>
      </c>
    </row>
    <row r="41" spans="1:22" x14ac:dyDescent="0.3">
      <c r="A41" s="32" t="s">
        <v>40</v>
      </c>
      <c r="M41" s="31" t="s">
        <v>42</v>
      </c>
    </row>
    <row r="42" spans="1:22" s="21" customFormat="1" x14ac:dyDescent="0.3">
      <c r="C42" s="21" t="s">
        <v>19</v>
      </c>
      <c r="D42" s="21" t="s">
        <v>20</v>
      </c>
      <c r="E42" s="21" t="s">
        <v>19</v>
      </c>
      <c r="F42" s="21" t="s">
        <v>19</v>
      </c>
      <c r="G42" s="21" t="s">
        <v>20</v>
      </c>
      <c r="H42" s="21" t="s">
        <v>20</v>
      </c>
      <c r="I42" s="21" t="s">
        <v>21</v>
      </c>
      <c r="J42" s="21" t="s">
        <v>20</v>
      </c>
      <c r="K42" s="21" t="s">
        <v>10</v>
      </c>
      <c r="M42" s="21" t="s">
        <v>9</v>
      </c>
    </row>
    <row r="43" spans="1:22" x14ac:dyDescent="0.3">
      <c r="B43" s="4" t="s">
        <v>1</v>
      </c>
      <c r="C43" s="4" t="s">
        <v>2</v>
      </c>
      <c r="D43" s="4" t="s">
        <v>3</v>
      </c>
      <c r="E43" s="4" t="s">
        <v>12</v>
      </c>
      <c r="F43" s="4" t="s">
        <v>4</v>
      </c>
      <c r="G43" s="4" t="s">
        <v>5</v>
      </c>
      <c r="H43" s="4" t="s">
        <v>13</v>
      </c>
      <c r="I43" s="4" t="s">
        <v>6</v>
      </c>
      <c r="J43" s="4" t="s">
        <v>7</v>
      </c>
      <c r="K43" s="4" t="s">
        <v>8</v>
      </c>
      <c r="M43" s="6" t="s">
        <v>8</v>
      </c>
      <c r="N43" s="6" t="s">
        <v>14</v>
      </c>
      <c r="O43" s="7"/>
      <c r="P43" s="7"/>
    </row>
    <row r="44" spans="1:22" x14ac:dyDescent="0.3">
      <c r="A44" s="2">
        <v>44773</v>
      </c>
      <c r="B44" s="9">
        <f>168720.47-179.55</f>
        <v>168540.92</v>
      </c>
      <c r="C44" s="9"/>
      <c r="D44" s="9">
        <v>-25574.77</v>
      </c>
      <c r="E44" s="9"/>
      <c r="F44" s="9"/>
      <c r="G44" s="9"/>
      <c r="H44" s="9"/>
      <c r="I44" s="9"/>
      <c r="J44" s="9"/>
      <c r="K44" s="9">
        <f>SUM(B44:J44)</f>
        <v>142966.15000000002</v>
      </c>
      <c r="M44" s="9">
        <v>165455.12</v>
      </c>
      <c r="N44" s="9">
        <f>+K44-M44</f>
        <v>-22488.969999999972</v>
      </c>
      <c r="O44" s="9"/>
      <c r="Q44">
        <v>2021</v>
      </c>
      <c r="T44" s="3"/>
    </row>
    <row r="45" spans="1:22" x14ac:dyDescent="0.3">
      <c r="A45" s="2">
        <f>+A44+31</f>
        <v>44804</v>
      </c>
      <c r="B45" s="9">
        <f>+K44</f>
        <v>142966.15000000002</v>
      </c>
      <c r="C45" s="9"/>
      <c r="D45" s="9">
        <v>-781.25</v>
      </c>
      <c r="E45" s="9"/>
      <c r="F45" s="9"/>
      <c r="G45" s="9"/>
      <c r="H45" s="9"/>
      <c r="I45" s="9"/>
      <c r="J45" s="9"/>
      <c r="K45" s="9">
        <f t="shared" ref="K45:K55" si="20">SUM(B45:J45)</f>
        <v>142184.90000000002</v>
      </c>
      <c r="M45" s="9">
        <f>+M44-26356.02</f>
        <v>139099.1</v>
      </c>
      <c r="N45" s="9">
        <f>+K45-M45</f>
        <v>3085.8000000000175</v>
      </c>
      <c r="O45" s="9">
        <f>+N44-N45</f>
        <v>-25574.76999999999</v>
      </c>
      <c r="R45" s="38" t="s">
        <v>83</v>
      </c>
      <c r="S45" s="38" t="s">
        <v>57</v>
      </c>
      <c r="T45" s="3">
        <v>3085.8</v>
      </c>
      <c r="U45" s="38"/>
    </row>
    <row r="46" spans="1:22" x14ac:dyDescent="0.3">
      <c r="A46" s="2">
        <f>+A45+30</f>
        <v>44834</v>
      </c>
      <c r="B46" s="9">
        <f t="shared" ref="B46:B55" si="21">+K45</f>
        <v>142184.90000000002</v>
      </c>
      <c r="C46" s="9"/>
      <c r="D46" s="9">
        <v>-14342.12</v>
      </c>
      <c r="E46" s="9"/>
      <c r="F46" s="9"/>
      <c r="G46" s="9"/>
      <c r="H46" s="9"/>
      <c r="I46" s="9"/>
      <c r="J46" s="9"/>
      <c r="K46" s="9">
        <f t="shared" si="20"/>
        <v>127842.78000000003</v>
      </c>
      <c r="M46" s="9">
        <f>+M45-14342.12</f>
        <v>124756.98000000001</v>
      </c>
      <c r="N46" s="9">
        <f t="shared" ref="N46:N54" si="22">+K46-M46</f>
        <v>3085.8000000000175</v>
      </c>
      <c r="O46" s="9">
        <f t="shared" ref="O46:O53" si="23">+N45-N46</f>
        <v>0</v>
      </c>
      <c r="T46" s="3"/>
    </row>
    <row r="47" spans="1:22" ht="15" thickBot="1" x14ac:dyDescent="0.35">
      <c r="A47" s="2">
        <f t="shared" ref="A47:A54" si="24">+A46+31</f>
        <v>44865</v>
      </c>
      <c r="B47" s="9">
        <f t="shared" si="21"/>
        <v>127842.78000000003</v>
      </c>
      <c r="C47" s="9"/>
      <c r="D47" s="9">
        <v>-5116.7299999999996</v>
      </c>
      <c r="E47" s="9">
        <v>5107.6000000000004</v>
      </c>
      <c r="F47" s="9"/>
      <c r="G47" s="9"/>
      <c r="H47" s="9"/>
      <c r="I47" s="9"/>
      <c r="J47" s="9"/>
      <c r="K47" s="9">
        <f t="shared" si="20"/>
        <v>127833.65000000004</v>
      </c>
      <c r="M47" s="9">
        <f>+M46-9.13</f>
        <v>124747.85</v>
      </c>
      <c r="N47" s="9">
        <f t="shared" si="22"/>
        <v>3085.800000000032</v>
      </c>
      <c r="O47" s="9">
        <f t="shared" si="23"/>
        <v>-1.4551915228366852E-11</v>
      </c>
      <c r="S47" t="s">
        <v>53</v>
      </c>
      <c r="T47" s="8">
        <f>SUM(T45:T46)</f>
        <v>3085.8</v>
      </c>
    </row>
    <row r="48" spans="1:22" ht="15" thickTop="1" x14ac:dyDescent="0.3">
      <c r="A48" s="2">
        <f>+A47+30</f>
        <v>44895</v>
      </c>
      <c r="B48" s="9">
        <f t="shared" si="21"/>
        <v>127833.65000000004</v>
      </c>
      <c r="C48" s="9"/>
      <c r="D48" s="9">
        <v>-8127.57</v>
      </c>
      <c r="E48" s="9"/>
      <c r="F48" s="9"/>
      <c r="G48" s="9"/>
      <c r="H48" s="9"/>
      <c r="I48" s="9"/>
      <c r="J48" s="9"/>
      <c r="K48" s="9">
        <f t="shared" si="20"/>
        <v>119706.08000000005</v>
      </c>
      <c r="M48" s="9">
        <f>+M47-8127.57</f>
        <v>116620.28</v>
      </c>
      <c r="N48" s="9">
        <f t="shared" si="22"/>
        <v>3085.8000000000466</v>
      </c>
      <c r="O48" s="9">
        <f t="shared" si="23"/>
        <v>-1.4551915228366852E-11</v>
      </c>
      <c r="T48" s="9"/>
      <c r="U48" s="5"/>
      <c r="V48" s="5"/>
    </row>
    <row r="49" spans="1:22" x14ac:dyDescent="0.3">
      <c r="A49" s="2">
        <f t="shared" si="24"/>
        <v>44926</v>
      </c>
      <c r="B49" s="9">
        <f t="shared" si="21"/>
        <v>119706.08000000005</v>
      </c>
      <c r="C49" s="9"/>
      <c r="D49" s="9">
        <v>-5391.25</v>
      </c>
      <c r="E49" s="9"/>
      <c r="F49" s="9"/>
      <c r="G49" s="9"/>
      <c r="H49" s="9"/>
      <c r="I49" s="9"/>
      <c r="J49" s="9"/>
      <c r="K49" s="9">
        <f t="shared" si="20"/>
        <v>114314.83000000005</v>
      </c>
      <c r="M49" s="9">
        <f>+M48-5391.25</f>
        <v>111229.03</v>
      </c>
      <c r="N49" s="9">
        <f t="shared" si="22"/>
        <v>3085.8000000000466</v>
      </c>
      <c r="O49" s="9">
        <f t="shared" si="23"/>
        <v>0</v>
      </c>
      <c r="U49" s="5"/>
      <c r="V49" s="5"/>
    </row>
    <row r="50" spans="1:22" x14ac:dyDescent="0.3">
      <c r="A50" s="2">
        <f t="shared" si="24"/>
        <v>44957</v>
      </c>
      <c r="B50" s="9">
        <f t="shared" si="21"/>
        <v>114314.83000000005</v>
      </c>
      <c r="C50" s="9"/>
      <c r="D50" s="9">
        <v>0</v>
      </c>
      <c r="E50" s="9"/>
      <c r="F50" s="9"/>
      <c r="G50" s="9"/>
      <c r="H50" s="9"/>
      <c r="I50" s="9"/>
      <c r="J50" s="9"/>
      <c r="K50" s="9">
        <f t="shared" si="20"/>
        <v>114314.83000000005</v>
      </c>
      <c r="M50" s="9">
        <f>+M49</f>
        <v>111229.03</v>
      </c>
      <c r="N50" s="9">
        <f t="shared" si="22"/>
        <v>3085.8000000000466</v>
      </c>
      <c r="O50" s="9">
        <f t="shared" si="23"/>
        <v>0</v>
      </c>
      <c r="U50" s="5"/>
      <c r="V50" s="5"/>
    </row>
    <row r="51" spans="1:22" x14ac:dyDescent="0.3">
      <c r="A51" s="2">
        <f>+A50+28</f>
        <v>44985</v>
      </c>
      <c r="B51" s="9">
        <f t="shared" si="21"/>
        <v>114314.83000000005</v>
      </c>
      <c r="C51" s="9"/>
      <c r="D51" s="9">
        <v>-7643.16</v>
      </c>
      <c r="E51" s="9"/>
      <c r="F51" s="9"/>
      <c r="G51" s="9"/>
      <c r="H51" s="9"/>
      <c r="I51" s="9"/>
      <c r="J51" s="9"/>
      <c r="K51" s="9">
        <f t="shared" si="20"/>
        <v>106671.67000000004</v>
      </c>
      <c r="M51" s="9">
        <f>+M50-7643.16</f>
        <v>103585.87</v>
      </c>
      <c r="N51" s="9">
        <f t="shared" si="22"/>
        <v>3085.8000000000466</v>
      </c>
      <c r="O51" s="9">
        <f t="shared" si="23"/>
        <v>0</v>
      </c>
      <c r="U51" s="5"/>
      <c r="V51" s="5"/>
    </row>
    <row r="52" spans="1:22" x14ac:dyDescent="0.3">
      <c r="A52" s="2">
        <f t="shared" si="24"/>
        <v>45016</v>
      </c>
      <c r="B52" s="9">
        <f t="shared" si="21"/>
        <v>106671.67000000004</v>
      </c>
      <c r="C52" s="9"/>
      <c r="D52" s="9">
        <v>-21521.35</v>
      </c>
      <c r="E52" s="9"/>
      <c r="F52" s="9"/>
      <c r="G52" s="9"/>
      <c r="H52" s="9"/>
      <c r="I52" s="9"/>
      <c r="J52" s="9"/>
      <c r="K52" s="9">
        <f t="shared" si="20"/>
        <v>85150.320000000036</v>
      </c>
      <c r="M52" s="9">
        <f>+M51-3024.68</f>
        <v>100561.19</v>
      </c>
      <c r="N52" s="9">
        <f t="shared" si="22"/>
        <v>-15410.869999999966</v>
      </c>
      <c r="O52" s="9">
        <f t="shared" si="23"/>
        <v>18496.670000000013</v>
      </c>
      <c r="U52" s="5"/>
      <c r="V52" s="5"/>
    </row>
    <row r="53" spans="1:22" x14ac:dyDescent="0.3">
      <c r="A53" s="2">
        <f>+A52+30</f>
        <v>45046</v>
      </c>
      <c r="B53" s="9">
        <f t="shared" si="21"/>
        <v>85150.320000000036</v>
      </c>
      <c r="C53" s="9"/>
      <c r="D53" s="9">
        <v>0</v>
      </c>
      <c r="E53" s="9"/>
      <c r="F53" s="9"/>
      <c r="G53" s="9"/>
      <c r="H53" s="9"/>
      <c r="I53" s="9"/>
      <c r="J53" s="9"/>
      <c r="K53" s="9">
        <f t="shared" si="20"/>
        <v>85150.320000000036</v>
      </c>
      <c r="M53" s="9">
        <f>+M52-18496.67</f>
        <v>82064.52</v>
      </c>
      <c r="N53" s="9">
        <f t="shared" si="22"/>
        <v>3085.800000000032</v>
      </c>
      <c r="O53" s="9">
        <f t="shared" si="23"/>
        <v>-18496.669999999998</v>
      </c>
      <c r="Q53" s="5"/>
      <c r="U53" s="5"/>
      <c r="V53" s="5"/>
    </row>
    <row r="54" spans="1:22" x14ac:dyDescent="0.3">
      <c r="A54" s="2">
        <f t="shared" si="24"/>
        <v>45077</v>
      </c>
      <c r="B54" s="9">
        <f t="shared" si="21"/>
        <v>85150.320000000036</v>
      </c>
      <c r="C54" s="9"/>
      <c r="D54" s="9">
        <v>-30718.81</v>
      </c>
      <c r="E54" s="9">
        <v>3777.33</v>
      </c>
      <c r="F54" s="9"/>
      <c r="G54" s="9"/>
      <c r="H54" s="9"/>
      <c r="I54" s="9"/>
      <c r="J54" s="9"/>
      <c r="K54" s="9">
        <f t="shared" si="20"/>
        <v>58208.84000000004</v>
      </c>
      <c r="M54" s="9">
        <f>+M53-26941.48</f>
        <v>55123.040000000008</v>
      </c>
      <c r="N54" s="9">
        <f t="shared" si="22"/>
        <v>3085.800000000032</v>
      </c>
      <c r="O54" s="9"/>
      <c r="P54" s="5"/>
      <c r="Q54" s="5"/>
    </row>
    <row r="55" spans="1:22" x14ac:dyDescent="0.3">
      <c r="A55" s="2">
        <f>+A54+30</f>
        <v>45107</v>
      </c>
      <c r="B55" s="9">
        <f t="shared" si="21"/>
        <v>58208.84000000004</v>
      </c>
      <c r="C55" s="9"/>
      <c r="D55" s="9">
        <v>-19128.759999999998</v>
      </c>
      <c r="E55" s="9"/>
      <c r="F55" s="9"/>
      <c r="G55" s="9"/>
      <c r="H55" s="9"/>
      <c r="I55" s="9"/>
      <c r="J55" s="9"/>
      <c r="K55" s="9">
        <f t="shared" si="20"/>
        <v>39080.080000000045</v>
      </c>
      <c r="M55" s="9">
        <f>+M54-19128.76</f>
        <v>35994.280000000013</v>
      </c>
      <c r="N55" s="15">
        <f>+K55-M55</f>
        <v>3085.800000000032</v>
      </c>
      <c r="O55" s="9"/>
    </row>
    <row r="56" spans="1:22" ht="15" thickBot="1" x14ac:dyDescent="0.35">
      <c r="A56" t="s">
        <v>16</v>
      </c>
      <c r="B56" s="9"/>
      <c r="C56" s="18">
        <f t="shared" ref="C56:J56" si="25">SUM(C44:C55)</f>
        <v>0</v>
      </c>
      <c r="D56" s="18">
        <f t="shared" si="25"/>
        <v>-138345.76999999999</v>
      </c>
      <c r="E56" s="18">
        <f t="shared" si="25"/>
        <v>8884.93</v>
      </c>
      <c r="F56" s="18">
        <f t="shared" si="25"/>
        <v>0</v>
      </c>
      <c r="G56" s="18">
        <f t="shared" si="25"/>
        <v>0</v>
      </c>
      <c r="H56" s="18">
        <f t="shared" si="25"/>
        <v>0</v>
      </c>
      <c r="I56" s="18">
        <f t="shared" si="25"/>
        <v>0</v>
      </c>
      <c r="J56" s="18">
        <f t="shared" si="25"/>
        <v>0</v>
      </c>
      <c r="K56" s="18">
        <f>+K55</f>
        <v>39080.080000000045</v>
      </c>
      <c r="M56" s="27"/>
      <c r="N56" s="9"/>
      <c r="O56" s="9"/>
      <c r="P56" s="9"/>
    </row>
    <row r="57" spans="1:22" ht="15" thickTop="1" x14ac:dyDescent="0.3">
      <c r="O57" s="5"/>
    </row>
    <row r="58" spans="1:22" ht="18" x14ac:dyDescent="0.3">
      <c r="A58" s="23">
        <v>2020</v>
      </c>
      <c r="E58" s="5"/>
    </row>
    <row r="59" spans="1:22" x14ac:dyDescent="0.3">
      <c r="A59" s="32" t="s">
        <v>11</v>
      </c>
      <c r="M59" s="31" t="s">
        <v>15</v>
      </c>
    </row>
    <row r="60" spans="1:22" x14ac:dyDescent="0.3">
      <c r="C60" s="10" t="s">
        <v>19</v>
      </c>
      <c r="D60" s="10" t="s">
        <v>20</v>
      </c>
      <c r="E60" s="10" t="s">
        <v>19</v>
      </c>
      <c r="F60" s="10" t="s">
        <v>19</v>
      </c>
      <c r="G60" s="10" t="s">
        <v>20</v>
      </c>
      <c r="H60" s="10" t="s">
        <v>20</v>
      </c>
      <c r="I60" s="10" t="s">
        <v>21</v>
      </c>
      <c r="J60" s="10" t="s">
        <v>20</v>
      </c>
      <c r="K60" s="7" t="s">
        <v>10</v>
      </c>
      <c r="L60" s="7"/>
      <c r="M60" s="7" t="s">
        <v>9</v>
      </c>
      <c r="Q60" s="24"/>
      <c r="R60" s="24"/>
      <c r="S60" s="24"/>
      <c r="T60" s="24"/>
      <c r="U60" s="24"/>
      <c r="V60" s="24"/>
    </row>
    <row r="61" spans="1:22" x14ac:dyDescent="0.3">
      <c r="B61" s="4" t="s">
        <v>1</v>
      </c>
      <c r="C61" s="6" t="s">
        <v>2</v>
      </c>
      <c r="D61" s="6" t="s">
        <v>3</v>
      </c>
      <c r="E61" s="6" t="s">
        <v>12</v>
      </c>
      <c r="F61" s="6" t="s">
        <v>4</v>
      </c>
      <c r="G61" s="6" t="s">
        <v>5</v>
      </c>
      <c r="H61" s="6" t="s">
        <v>13</v>
      </c>
      <c r="I61" s="6" t="s">
        <v>6</v>
      </c>
      <c r="J61" s="6" t="s">
        <v>7</v>
      </c>
      <c r="K61" s="6" t="s">
        <v>8</v>
      </c>
      <c r="L61" s="7"/>
      <c r="M61" s="6" t="s">
        <v>8</v>
      </c>
      <c r="N61" s="6" t="s">
        <v>14</v>
      </c>
      <c r="O61" s="7"/>
      <c r="P61" s="7"/>
    </row>
    <row r="62" spans="1:22" x14ac:dyDescent="0.3">
      <c r="A62" s="2">
        <v>44773</v>
      </c>
      <c r="B62" s="9">
        <v>99111.4</v>
      </c>
      <c r="C62" s="9"/>
      <c r="D62" s="9"/>
      <c r="E62" s="9"/>
      <c r="F62" s="9"/>
      <c r="G62" s="9"/>
      <c r="H62" s="9"/>
      <c r="I62" s="9"/>
      <c r="J62" s="9"/>
      <c r="K62" s="9">
        <f>SUM(B62:J62)</f>
        <v>99111.4</v>
      </c>
      <c r="M62" s="9">
        <v>99105.31</v>
      </c>
      <c r="N62" s="9">
        <f>+K62-M62</f>
        <v>6.0899999999965075</v>
      </c>
      <c r="O62" s="9"/>
      <c r="P62" s="39" t="s">
        <v>54</v>
      </c>
    </row>
    <row r="63" spans="1:22" x14ac:dyDescent="0.3">
      <c r="A63" s="2">
        <f>+A62+31</f>
        <v>44804</v>
      </c>
      <c r="B63" s="9">
        <f>+K62</f>
        <v>99111.4</v>
      </c>
      <c r="C63" s="9"/>
      <c r="D63" s="9"/>
      <c r="E63" s="9"/>
      <c r="F63" s="9"/>
      <c r="G63" s="9"/>
      <c r="H63" s="9"/>
      <c r="I63" s="9"/>
      <c r="J63" s="9"/>
      <c r="K63" s="9">
        <f>SUM(B63:J63)</f>
        <v>99111.4</v>
      </c>
      <c r="M63" s="9">
        <f>+M62</f>
        <v>99105.31</v>
      </c>
      <c r="N63" s="9">
        <f t="shared" ref="N63:N73" si="26">+K63-M63</f>
        <v>6.0899999999965075</v>
      </c>
      <c r="O63" s="9"/>
      <c r="P63" s="9"/>
    </row>
    <row r="64" spans="1:22" x14ac:dyDescent="0.3">
      <c r="A64" s="2">
        <f>+A63+30</f>
        <v>44834</v>
      </c>
      <c r="B64" s="9">
        <f t="shared" ref="B64:B73" si="27">+K63</f>
        <v>99111.4</v>
      </c>
      <c r="C64" s="9"/>
      <c r="D64" s="9">
        <v>-14192.05</v>
      </c>
      <c r="E64" s="9"/>
      <c r="F64" s="9"/>
      <c r="G64" s="9"/>
      <c r="H64" s="9"/>
      <c r="I64" s="9"/>
      <c r="J64" s="9"/>
      <c r="K64" s="9">
        <f t="shared" ref="K64:K73" si="28">SUM(B64:J64)</f>
        <v>84919.349999999991</v>
      </c>
      <c r="M64" s="9">
        <f>+M63-14192.05</f>
        <v>84913.26</v>
      </c>
      <c r="N64" s="9">
        <f t="shared" si="26"/>
        <v>6.0899999999965075</v>
      </c>
      <c r="O64" s="9"/>
      <c r="P64" s="9"/>
    </row>
    <row r="65" spans="1:21" x14ac:dyDescent="0.3">
      <c r="A65" s="2">
        <f t="shared" ref="A65:A72" si="29">+A64+31</f>
        <v>44865</v>
      </c>
      <c r="B65" s="9">
        <f t="shared" si="27"/>
        <v>84919.349999999991</v>
      </c>
      <c r="C65" s="9"/>
      <c r="D65" s="9">
        <v>1.48</v>
      </c>
      <c r="E65" s="9"/>
      <c r="F65" s="9"/>
      <c r="G65" s="9"/>
      <c r="H65" s="9"/>
      <c r="I65" s="9"/>
      <c r="J65" s="9"/>
      <c r="K65" s="9">
        <f t="shared" si="28"/>
        <v>84920.829999999987</v>
      </c>
      <c r="M65" s="9">
        <f>+M64+1.48</f>
        <v>84914.739999999991</v>
      </c>
      <c r="N65" s="9">
        <f t="shared" si="26"/>
        <v>6.0899999999965075</v>
      </c>
      <c r="O65" s="9"/>
      <c r="P65" s="9"/>
    </row>
    <row r="66" spans="1:21" x14ac:dyDescent="0.3">
      <c r="A66" s="2">
        <f>+A65+30</f>
        <v>44895</v>
      </c>
      <c r="B66" s="9">
        <f t="shared" si="27"/>
        <v>84920.829999999987</v>
      </c>
      <c r="C66" s="9"/>
      <c r="D66" s="9"/>
      <c r="E66" s="9"/>
      <c r="F66" s="9"/>
      <c r="G66" s="9"/>
      <c r="H66" s="9"/>
      <c r="I66" s="28"/>
      <c r="J66" s="9"/>
      <c r="K66" s="9">
        <f t="shared" si="28"/>
        <v>84920.829999999987</v>
      </c>
      <c r="M66" s="9">
        <f>+M65</f>
        <v>84914.739999999991</v>
      </c>
      <c r="N66" s="9">
        <f t="shared" si="26"/>
        <v>6.0899999999965075</v>
      </c>
      <c r="O66" s="9"/>
      <c r="P66" s="9"/>
    </row>
    <row r="67" spans="1:21" x14ac:dyDescent="0.3">
      <c r="A67" s="2">
        <f t="shared" si="29"/>
        <v>44926</v>
      </c>
      <c r="B67" s="9">
        <f t="shared" si="27"/>
        <v>84920.829999999987</v>
      </c>
      <c r="C67" s="9"/>
      <c r="D67" s="9"/>
      <c r="E67" s="9"/>
      <c r="F67" s="9"/>
      <c r="G67" s="9"/>
      <c r="H67" s="9"/>
      <c r="I67" s="9"/>
      <c r="J67" s="9"/>
      <c r="K67" s="9">
        <f t="shared" si="28"/>
        <v>84920.829999999987</v>
      </c>
      <c r="M67" s="9">
        <f t="shared" ref="M67:M69" si="30">+M66</f>
        <v>84914.739999999991</v>
      </c>
      <c r="N67" s="9">
        <f t="shared" si="26"/>
        <v>6.0899999999965075</v>
      </c>
      <c r="O67" s="9"/>
      <c r="P67" s="9"/>
      <c r="U67" s="9"/>
    </row>
    <row r="68" spans="1:21" x14ac:dyDescent="0.3">
      <c r="A68" s="2">
        <f t="shared" si="29"/>
        <v>44957</v>
      </c>
      <c r="B68" s="9">
        <f t="shared" si="27"/>
        <v>84920.829999999987</v>
      </c>
      <c r="C68" s="9"/>
      <c r="D68" s="9"/>
      <c r="E68" s="9"/>
      <c r="F68" s="9"/>
      <c r="G68" s="9"/>
      <c r="H68" s="9"/>
      <c r="I68" s="9"/>
      <c r="J68" s="9"/>
      <c r="K68" s="9">
        <f t="shared" si="28"/>
        <v>84920.829999999987</v>
      </c>
      <c r="M68" s="9">
        <f t="shared" si="30"/>
        <v>84914.739999999991</v>
      </c>
      <c r="N68" s="9">
        <f t="shared" si="26"/>
        <v>6.0899999999965075</v>
      </c>
      <c r="O68" s="9"/>
      <c r="P68" s="9"/>
    </row>
    <row r="69" spans="1:21" x14ac:dyDescent="0.3">
      <c r="A69" s="2">
        <f>+A68+28</f>
        <v>44985</v>
      </c>
      <c r="B69" s="9">
        <f t="shared" si="27"/>
        <v>84920.829999999987</v>
      </c>
      <c r="C69" s="9"/>
      <c r="D69" s="9"/>
      <c r="E69" s="9"/>
      <c r="F69" s="9"/>
      <c r="G69" s="9"/>
      <c r="H69" s="9"/>
      <c r="I69" s="9"/>
      <c r="J69" s="9"/>
      <c r="K69" s="9">
        <f t="shared" si="28"/>
        <v>84920.829999999987</v>
      </c>
      <c r="M69" s="9">
        <f t="shared" si="30"/>
        <v>84914.739999999991</v>
      </c>
      <c r="N69" s="9">
        <f t="shared" si="26"/>
        <v>6.0899999999965075</v>
      </c>
      <c r="O69" s="9"/>
      <c r="P69" s="9"/>
    </row>
    <row r="70" spans="1:21" x14ac:dyDescent="0.3">
      <c r="A70" s="2">
        <f t="shared" si="29"/>
        <v>45016</v>
      </c>
      <c r="B70" s="9">
        <f t="shared" si="27"/>
        <v>84920.829999999987</v>
      </c>
      <c r="C70" s="9"/>
      <c r="D70" s="9">
        <v>-42192.61</v>
      </c>
      <c r="E70" s="9"/>
      <c r="F70" s="9"/>
      <c r="G70" s="9"/>
      <c r="H70" s="9"/>
      <c r="I70" s="9"/>
      <c r="J70" s="9"/>
      <c r="K70" s="9">
        <f t="shared" si="28"/>
        <v>42728.219999999987</v>
      </c>
      <c r="M70" s="9">
        <f>+M69</f>
        <v>84914.739999999991</v>
      </c>
      <c r="N70" s="9">
        <f>+K70-M70</f>
        <v>-42186.520000000004</v>
      </c>
      <c r="O70" s="9"/>
      <c r="P70" s="9"/>
    </row>
    <row r="71" spans="1:21" x14ac:dyDescent="0.3">
      <c r="A71" s="2">
        <f>+A70+30</f>
        <v>45046</v>
      </c>
      <c r="B71" s="9">
        <f t="shared" si="27"/>
        <v>42728.219999999987</v>
      </c>
      <c r="C71" s="9"/>
      <c r="D71" s="9"/>
      <c r="E71" s="9"/>
      <c r="F71" s="9"/>
      <c r="G71" s="9"/>
      <c r="H71" s="9"/>
      <c r="I71" s="9"/>
      <c r="J71" s="9"/>
      <c r="K71" s="9">
        <f>SUM(B71:J71)</f>
        <v>42728.219999999987</v>
      </c>
      <c r="M71" s="9">
        <f>+M70-36693.24</f>
        <v>48221.499999999993</v>
      </c>
      <c r="N71" s="9">
        <f>+K71-M71</f>
        <v>-5493.2800000000061</v>
      </c>
      <c r="O71" s="9"/>
      <c r="P71" s="9"/>
    </row>
    <row r="72" spans="1:21" x14ac:dyDescent="0.3">
      <c r="A72" s="2">
        <f t="shared" si="29"/>
        <v>45077</v>
      </c>
      <c r="B72" s="9">
        <f t="shared" si="27"/>
        <v>42728.219999999987</v>
      </c>
      <c r="C72" s="9"/>
      <c r="D72" s="9">
        <v>-20666.95</v>
      </c>
      <c r="E72" s="9">
        <v>3795.99</v>
      </c>
      <c r="F72" s="9"/>
      <c r="G72" s="9"/>
      <c r="H72" s="9"/>
      <c r="I72" s="9"/>
      <c r="J72" s="9"/>
      <c r="K72" s="9">
        <f t="shared" si="28"/>
        <v>25857.259999999987</v>
      </c>
      <c r="M72" s="9">
        <f>+M71-22370.33</f>
        <v>25851.169999999991</v>
      </c>
      <c r="N72" s="9">
        <f t="shared" si="26"/>
        <v>6.0899999999965075</v>
      </c>
      <c r="O72" s="9"/>
      <c r="P72" s="9"/>
    </row>
    <row r="73" spans="1:21" x14ac:dyDescent="0.3">
      <c r="A73" s="2">
        <f>+A72+30</f>
        <v>45107</v>
      </c>
      <c r="B73" s="9">
        <f t="shared" si="27"/>
        <v>25857.259999999987</v>
      </c>
      <c r="C73" s="9"/>
      <c r="D73" s="9">
        <v>-19054.560000000001</v>
      </c>
      <c r="E73" s="9"/>
      <c r="F73" s="9"/>
      <c r="G73" s="9"/>
      <c r="H73" s="9"/>
      <c r="I73" s="9"/>
      <c r="J73" s="9"/>
      <c r="K73" s="9">
        <f t="shared" si="28"/>
        <v>6802.6999999999862</v>
      </c>
      <c r="M73" s="9">
        <f>+M72-19054.56</f>
        <v>6796.6099999999897</v>
      </c>
      <c r="N73" s="14">
        <f t="shared" si="26"/>
        <v>6.0899999999965075</v>
      </c>
      <c r="O73" s="19"/>
      <c r="P73" s="9"/>
    </row>
    <row r="74" spans="1:21" ht="15" thickBot="1" x14ac:dyDescent="0.35">
      <c r="A74" t="s">
        <v>16</v>
      </c>
      <c r="B74" s="9">
        <f>+B62</f>
        <v>99111.4</v>
      </c>
      <c r="C74" s="18">
        <f t="shared" ref="C74:J74" si="31">SUM(C62:C73)</f>
        <v>0</v>
      </c>
      <c r="D74" s="18">
        <f t="shared" si="31"/>
        <v>-96104.69</v>
      </c>
      <c r="E74" s="18">
        <f t="shared" si="31"/>
        <v>3795.99</v>
      </c>
      <c r="F74" s="18">
        <f t="shared" si="31"/>
        <v>0</v>
      </c>
      <c r="G74" s="18">
        <f t="shared" si="31"/>
        <v>0</v>
      </c>
      <c r="H74" s="18">
        <f t="shared" si="31"/>
        <v>0</v>
      </c>
      <c r="I74" s="18">
        <f t="shared" si="31"/>
        <v>0</v>
      </c>
      <c r="J74" s="18">
        <f t="shared" si="31"/>
        <v>0</v>
      </c>
      <c r="K74" s="18">
        <f>SUM(B74:J74)</f>
        <v>6802.6999999999916</v>
      </c>
      <c r="M74" s="17"/>
      <c r="N74" s="9"/>
      <c r="O74" s="9"/>
      <c r="P74" s="9"/>
    </row>
    <row r="75" spans="1:21" ht="15" thickTop="1" x14ac:dyDescent="0.3">
      <c r="H75" s="5"/>
      <c r="I75" s="5"/>
      <c r="J75" s="5"/>
      <c r="M75" s="17"/>
      <c r="N75" s="9"/>
      <c r="O75" s="9"/>
      <c r="P75" s="9"/>
    </row>
    <row r="76" spans="1:21" ht="18" x14ac:dyDescent="0.3">
      <c r="A76" s="23">
        <v>2019</v>
      </c>
      <c r="H76" s="5"/>
      <c r="I76" s="5"/>
      <c r="J76" s="5"/>
      <c r="N76" s="9"/>
      <c r="O76" s="9"/>
      <c r="P76" s="9"/>
    </row>
    <row r="77" spans="1:21" x14ac:dyDescent="0.3">
      <c r="A77" s="32" t="s">
        <v>17</v>
      </c>
      <c r="M77" s="31" t="s">
        <v>31</v>
      </c>
    </row>
    <row r="78" spans="1:21" x14ac:dyDescent="0.3">
      <c r="C78" s="10" t="s">
        <v>19</v>
      </c>
      <c r="D78" s="10" t="s">
        <v>20</v>
      </c>
      <c r="E78" s="10" t="s">
        <v>19</v>
      </c>
      <c r="F78" s="10" t="s">
        <v>19</v>
      </c>
      <c r="G78" s="10" t="s">
        <v>20</v>
      </c>
      <c r="H78" s="10" t="s">
        <v>20</v>
      </c>
      <c r="I78" s="10" t="s">
        <v>21</v>
      </c>
      <c r="J78" s="10" t="s">
        <v>20</v>
      </c>
      <c r="K78" s="7" t="s">
        <v>10</v>
      </c>
      <c r="L78" s="7"/>
      <c r="M78" s="7" t="s">
        <v>9</v>
      </c>
    </row>
    <row r="79" spans="1:21" x14ac:dyDescent="0.3">
      <c r="B79" s="4" t="s">
        <v>1</v>
      </c>
      <c r="C79" s="6" t="s">
        <v>2</v>
      </c>
      <c r="D79" s="6" t="s">
        <v>3</v>
      </c>
      <c r="E79" s="6" t="s">
        <v>12</v>
      </c>
      <c r="F79" s="6" t="s">
        <v>4</v>
      </c>
      <c r="G79" s="6" t="s">
        <v>5</v>
      </c>
      <c r="H79" s="6" t="s">
        <v>13</v>
      </c>
      <c r="I79" s="6" t="s">
        <v>6</v>
      </c>
      <c r="J79" s="6" t="s">
        <v>7</v>
      </c>
      <c r="K79" s="6" t="s">
        <v>8</v>
      </c>
      <c r="L79" s="7"/>
      <c r="M79" s="6" t="s">
        <v>8</v>
      </c>
      <c r="N79" s="6" t="s">
        <v>14</v>
      </c>
      <c r="O79" s="7"/>
      <c r="P79" s="7"/>
    </row>
    <row r="80" spans="1:21" x14ac:dyDescent="0.3">
      <c r="A80" s="2">
        <v>44773</v>
      </c>
      <c r="B80" s="9">
        <v>37465.25</v>
      </c>
      <c r="C80" s="9"/>
      <c r="D80" s="9"/>
      <c r="E80" s="9"/>
      <c r="F80" s="9"/>
      <c r="G80" s="9"/>
      <c r="H80" s="9"/>
      <c r="I80" s="9"/>
      <c r="J80" s="9"/>
      <c r="K80" s="9">
        <f>SUM(B80:J80)</f>
        <v>37465.25</v>
      </c>
      <c r="M80" s="9">
        <v>37594.92</v>
      </c>
      <c r="N80" s="9">
        <f>+K80-M80</f>
        <v>-129.66999999999825</v>
      </c>
      <c r="O80" s="9"/>
      <c r="P80" s="9"/>
    </row>
    <row r="81" spans="1:16" x14ac:dyDescent="0.3">
      <c r="A81" s="2">
        <f>+A80+31</f>
        <v>44804</v>
      </c>
      <c r="B81" s="9">
        <f>+K80</f>
        <v>37465.25</v>
      </c>
      <c r="C81" s="9"/>
      <c r="D81" s="9"/>
      <c r="E81" s="9"/>
      <c r="F81" s="9"/>
      <c r="G81" s="9"/>
      <c r="H81" s="9"/>
      <c r="I81" s="9"/>
      <c r="J81" s="9"/>
      <c r="K81" s="9">
        <f t="shared" ref="K81:K90" si="32">SUM(B81:J81)</f>
        <v>37465.25</v>
      </c>
      <c r="M81" s="9">
        <f>+M80</f>
        <v>37594.92</v>
      </c>
      <c r="N81" s="9">
        <f t="shared" ref="N81:N91" si="33">+K81-M81</f>
        <v>-129.66999999999825</v>
      </c>
      <c r="O81" s="9"/>
      <c r="P81" s="9"/>
    </row>
    <row r="82" spans="1:16" x14ac:dyDescent="0.3">
      <c r="A82" s="2">
        <f>+A81+30</f>
        <v>44834</v>
      </c>
      <c r="B82" s="9">
        <f t="shared" ref="B82:B91" si="34">+K81</f>
        <v>37465.25</v>
      </c>
      <c r="C82" s="9"/>
      <c r="D82" s="9"/>
      <c r="E82" s="9"/>
      <c r="F82" s="9"/>
      <c r="G82" s="9"/>
      <c r="H82" s="9"/>
      <c r="I82" s="9"/>
      <c r="J82" s="9"/>
      <c r="K82" s="9">
        <f t="shared" si="32"/>
        <v>37465.25</v>
      </c>
      <c r="M82" s="9">
        <f t="shared" ref="M82:M87" si="35">+M81</f>
        <v>37594.92</v>
      </c>
      <c r="N82" s="9">
        <f t="shared" si="33"/>
        <v>-129.66999999999825</v>
      </c>
      <c r="O82" s="9"/>
      <c r="P82" s="9"/>
    </row>
    <row r="83" spans="1:16" x14ac:dyDescent="0.3">
      <c r="A83" s="2">
        <f t="shared" ref="A83:A90" si="36">+A82+31</f>
        <v>44865</v>
      </c>
      <c r="B83" s="9">
        <f t="shared" si="34"/>
        <v>37465.25</v>
      </c>
      <c r="C83" s="9"/>
      <c r="D83" s="9"/>
      <c r="E83" s="9"/>
      <c r="F83" s="9"/>
      <c r="G83" s="9"/>
      <c r="H83" s="9"/>
      <c r="I83" s="9"/>
      <c r="J83" s="9"/>
      <c r="K83" s="9">
        <f t="shared" si="32"/>
        <v>37465.25</v>
      </c>
      <c r="M83" s="9">
        <f t="shared" si="35"/>
        <v>37594.92</v>
      </c>
      <c r="N83" s="9">
        <f t="shared" si="33"/>
        <v>-129.66999999999825</v>
      </c>
      <c r="O83" s="9"/>
      <c r="P83" s="9"/>
    </row>
    <row r="84" spans="1:16" x14ac:dyDescent="0.3">
      <c r="A84" s="2">
        <f>+A83+30</f>
        <v>44895</v>
      </c>
      <c r="B84" s="9">
        <f t="shared" si="34"/>
        <v>37465.25</v>
      </c>
      <c r="C84" s="9"/>
      <c r="D84" s="9"/>
      <c r="E84" s="9"/>
      <c r="F84" s="9"/>
      <c r="G84" s="9"/>
      <c r="H84" s="9"/>
      <c r="I84" s="9"/>
      <c r="J84" s="9"/>
      <c r="K84" s="9">
        <f t="shared" si="32"/>
        <v>37465.25</v>
      </c>
      <c r="M84" s="9">
        <f t="shared" si="35"/>
        <v>37594.92</v>
      </c>
      <c r="N84" s="9">
        <f t="shared" si="33"/>
        <v>-129.66999999999825</v>
      </c>
      <c r="O84" s="9"/>
      <c r="P84" s="9"/>
    </row>
    <row r="85" spans="1:16" x14ac:dyDescent="0.3">
      <c r="A85" s="2">
        <f t="shared" si="36"/>
        <v>44926</v>
      </c>
      <c r="B85" s="9">
        <f t="shared" si="34"/>
        <v>37465.25</v>
      </c>
      <c r="C85" s="9"/>
      <c r="D85" s="9"/>
      <c r="E85" s="9"/>
      <c r="F85" s="9"/>
      <c r="G85" s="9"/>
      <c r="H85" s="9"/>
      <c r="I85" s="9"/>
      <c r="J85" s="9"/>
      <c r="K85" s="9">
        <f t="shared" si="32"/>
        <v>37465.25</v>
      </c>
      <c r="M85" s="9">
        <f t="shared" si="35"/>
        <v>37594.92</v>
      </c>
      <c r="N85" s="9">
        <f t="shared" si="33"/>
        <v>-129.66999999999825</v>
      </c>
      <c r="O85" s="9"/>
      <c r="P85" s="9"/>
    </row>
    <row r="86" spans="1:16" x14ac:dyDescent="0.3">
      <c r="A86" s="2">
        <f t="shared" si="36"/>
        <v>44957</v>
      </c>
      <c r="B86" s="9">
        <f t="shared" si="34"/>
        <v>37465.25</v>
      </c>
      <c r="C86" s="9"/>
      <c r="D86" s="9"/>
      <c r="E86" s="9"/>
      <c r="F86" s="9"/>
      <c r="G86" s="9"/>
      <c r="H86" s="9"/>
      <c r="I86" s="9"/>
      <c r="J86" s="9"/>
      <c r="K86" s="9">
        <f t="shared" si="32"/>
        <v>37465.25</v>
      </c>
      <c r="M86" s="9">
        <f t="shared" si="35"/>
        <v>37594.92</v>
      </c>
      <c r="N86" s="9">
        <f t="shared" si="33"/>
        <v>-129.66999999999825</v>
      </c>
      <c r="O86" s="9"/>
      <c r="P86" s="9"/>
    </row>
    <row r="87" spans="1:16" x14ac:dyDescent="0.3">
      <c r="A87" s="2">
        <f>+A86+28</f>
        <v>44985</v>
      </c>
      <c r="B87" s="9">
        <f t="shared" si="34"/>
        <v>37465.25</v>
      </c>
      <c r="C87" s="9"/>
      <c r="D87" s="9"/>
      <c r="E87" s="9"/>
      <c r="F87" s="9"/>
      <c r="G87" s="9"/>
      <c r="H87" s="9"/>
      <c r="I87" s="9"/>
      <c r="J87" s="9"/>
      <c r="K87" s="9">
        <f t="shared" si="32"/>
        <v>37465.25</v>
      </c>
      <c r="M87" s="9">
        <f t="shared" si="35"/>
        <v>37594.92</v>
      </c>
      <c r="N87" s="9">
        <f t="shared" si="33"/>
        <v>-129.66999999999825</v>
      </c>
      <c r="O87" s="9"/>
      <c r="P87" s="9"/>
    </row>
    <row r="88" spans="1:16" x14ac:dyDescent="0.3">
      <c r="A88" s="2">
        <f t="shared" si="36"/>
        <v>45016</v>
      </c>
      <c r="B88" s="9">
        <f t="shared" si="34"/>
        <v>37465.25</v>
      </c>
      <c r="C88" s="9"/>
      <c r="D88" s="9">
        <v>-4291.09</v>
      </c>
      <c r="E88" s="9"/>
      <c r="F88" s="9"/>
      <c r="G88" s="9"/>
      <c r="H88" s="9"/>
      <c r="I88" s="9"/>
      <c r="J88" s="9"/>
      <c r="K88" s="9">
        <f t="shared" si="32"/>
        <v>33174.160000000003</v>
      </c>
      <c r="M88" s="9">
        <f>+M87-4291.09</f>
        <v>33303.83</v>
      </c>
      <c r="N88" s="9">
        <f t="shared" si="33"/>
        <v>-129.66999999999825</v>
      </c>
      <c r="O88" s="9"/>
      <c r="P88" s="9"/>
    </row>
    <row r="89" spans="1:16" x14ac:dyDescent="0.3">
      <c r="A89" s="2">
        <f>+A88+30</f>
        <v>45046</v>
      </c>
      <c r="B89" s="9">
        <f t="shared" si="34"/>
        <v>33174.160000000003</v>
      </c>
      <c r="C89" s="9"/>
      <c r="D89" s="9"/>
      <c r="E89" s="9"/>
      <c r="F89" s="9"/>
      <c r="G89" s="9"/>
      <c r="H89" s="9"/>
      <c r="I89" s="9"/>
      <c r="J89" s="9"/>
      <c r="K89" s="9">
        <f t="shared" si="32"/>
        <v>33174.160000000003</v>
      </c>
      <c r="M89" s="9">
        <f>+M88</f>
        <v>33303.83</v>
      </c>
      <c r="N89" s="9">
        <f t="shared" si="33"/>
        <v>-129.66999999999825</v>
      </c>
      <c r="O89" s="9"/>
    </row>
    <row r="90" spans="1:16" x14ac:dyDescent="0.3">
      <c r="A90" s="2">
        <f t="shared" si="36"/>
        <v>45077</v>
      </c>
      <c r="B90" s="9">
        <f t="shared" si="34"/>
        <v>33174.160000000003</v>
      </c>
      <c r="C90" s="9"/>
      <c r="D90" s="9">
        <v>-17882.73</v>
      </c>
      <c r="E90" s="9"/>
      <c r="F90" s="9"/>
      <c r="G90" s="9"/>
      <c r="H90" s="9"/>
      <c r="I90" s="9"/>
      <c r="J90" s="9"/>
      <c r="K90" s="9">
        <f t="shared" si="32"/>
        <v>15291.430000000004</v>
      </c>
      <c r="M90" s="9">
        <f>+M89-17882.73</f>
        <v>15421.100000000002</v>
      </c>
      <c r="N90" s="9">
        <f t="shared" si="33"/>
        <v>-129.66999999999825</v>
      </c>
      <c r="O90" s="9"/>
      <c r="P90" s="9"/>
    </row>
    <row r="91" spans="1:16" x14ac:dyDescent="0.3">
      <c r="A91" s="2">
        <f>+A90+30</f>
        <v>45107</v>
      </c>
      <c r="B91" s="9">
        <f t="shared" si="34"/>
        <v>15291.430000000004</v>
      </c>
      <c r="C91" s="9"/>
      <c r="D91" s="9">
        <v>-3036.07</v>
      </c>
      <c r="E91" s="9"/>
      <c r="F91" s="9"/>
      <c r="G91" s="9"/>
      <c r="H91" s="9"/>
      <c r="I91" s="9"/>
      <c r="J91" s="9"/>
      <c r="K91" s="9">
        <f>SUM(B91:J91)</f>
        <v>12255.360000000004</v>
      </c>
      <c r="M91" s="9">
        <f>+M90-3036.07</f>
        <v>12385.030000000002</v>
      </c>
      <c r="N91" s="16">
        <f t="shared" si="33"/>
        <v>-129.66999999999825</v>
      </c>
      <c r="O91" s="13"/>
      <c r="P91" s="9"/>
    </row>
    <row r="92" spans="1:16" ht="15" thickBot="1" x14ac:dyDescent="0.35">
      <c r="A92" t="s">
        <v>16</v>
      </c>
      <c r="B92" s="9">
        <f>+B80</f>
        <v>37465.25</v>
      </c>
      <c r="C92" s="18">
        <f t="shared" ref="C92:J92" si="37">SUM(C80:C91)</f>
        <v>0</v>
      </c>
      <c r="D92" s="18">
        <f t="shared" si="37"/>
        <v>-25209.89</v>
      </c>
      <c r="E92" s="18">
        <f t="shared" si="37"/>
        <v>0</v>
      </c>
      <c r="F92" s="18">
        <f t="shared" si="37"/>
        <v>0</v>
      </c>
      <c r="G92" s="18">
        <f t="shared" si="37"/>
        <v>0</v>
      </c>
      <c r="H92" s="18">
        <f t="shared" si="37"/>
        <v>0</v>
      </c>
      <c r="I92" s="18">
        <f t="shared" si="37"/>
        <v>0</v>
      </c>
      <c r="J92" s="18">
        <f t="shared" si="37"/>
        <v>0</v>
      </c>
      <c r="K92" s="18">
        <f>+K91</f>
        <v>12255.360000000004</v>
      </c>
      <c r="M92" s="9"/>
      <c r="N92" s="5"/>
      <c r="O92" s="5"/>
      <c r="P92" s="5"/>
    </row>
    <row r="93" spans="1:16" ht="15" thickTop="1" x14ac:dyDescent="0.3">
      <c r="B93" s="9"/>
      <c r="C93" s="20"/>
      <c r="D93" s="20"/>
      <c r="E93" s="20"/>
      <c r="F93" s="20"/>
      <c r="G93" s="20"/>
      <c r="H93" s="20"/>
      <c r="I93" s="20"/>
      <c r="J93" s="20"/>
      <c r="K93" s="20"/>
      <c r="M93" s="9"/>
      <c r="N93" s="5"/>
      <c r="O93" s="5"/>
      <c r="P93" s="5"/>
    </row>
    <row r="94" spans="1:16" ht="18" x14ac:dyDescent="0.3">
      <c r="A94" s="23">
        <v>2018</v>
      </c>
      <c r="H94" s="5"/>
      <c r="I94" s="5"/>
      <c r="J94" s="5"/>
      <c r="K94" s="5"/>
      <c r="N94" s="9"/>
      <c r="O94" s="9"/>
      <c r="P94" s="9"/>
    </row>
    <row r="95" spans="1:16" x14ac:dyDescent="0.3">
      <c r="A95" s="32" t="s">
        <v>27</v>
      </c>
      <c r="M95" s="31" t="s">
        <v>32</v>
      </c>
    </row>
    <row r="96" spans="1:16" x14ac:dyDescent="0.3">
      <c r="C96" s="10" t="s">
        <v>19</v>
      </c>
      <c r="D96" s="10" t="s">
        <v>20</v>
      </c>
      <c r="E96" s="10" t="s">
        <v>19</v>
      </c>
      <c r="F96" s="10" t="s">
        <v>19</v>
      </c>
      <c r="G96" s="10" t="s">
        <v>20</v>
      </c>
      <c r="H96" s="10" t="s">
        <v>20</v>
      </c>
      <c r="I96" s="10" t="s">
        <v>21</v>
      </c>
      <c r="J96" s="10" t="s">
        <v>20</v>
      </c>
      <c r="K96" s="7" t="s">
        <v>10</v>
      </c>
      <c r="L96" s="7"/>
      <c r="M96" s="7" t="s">
        <v>9</v>
      </c>
    </row>
    <row r="97" spans="1:16" x14ac:dyDescent="0.3">
      <c r="B97" s="4" t="s">
        <v>1</v>
      </c>
      <c r="C97" s="6" t="s">
        <v>2</v>
      </c>
      <c r="D97" s="6" t="s">
        <v>3</v>
      </c>
      <c r="E97" s="6" t="s">
        <v>12</v>
      </c>
      <c r="F97" s="6" t="s">
        <v>4</v>
      </c>
      <c r="G97" s="6" t="s">
        <v>5</v>
      </c>
      <c r="H97" s="6" t="s">
        <v>13</v>
      </c>
      <c r="I97" s="6" t="s">
        <v>6</v>
      </c>
      <c r="J97" s="6" t="s">
        <v>7</v>
      </c>
      <c r="K97" s="6" t="s">
        <v>8</v>
      </c>
      <c r="L97" s="7"/>
      <c r="M97" s="6" t="s">
        <v>8</v>
      </c>
      <c r="N97" s="6" t="s">
        <v>14</v>
      </c>
      <c r="O97" s="7"/>
      <c r="P97" s="7"/>
    </row>
    <row r="98" spans="1:16" x14ac:dyDescent="0.3">
      <c r="A98" s="2">
        <v>44773</v>
      </c>
      <c r="B98" s="9">
        <v>12753.970000000001</v>
      </c>
      <c r="C98" s="9"/>
      <c r="D98" s="9"/>
      <c r="E98" s="9"/>
      <c r="F98" s="9"/>
      <c r="G98" s="9"/>
      <c r="H98" s="9"/>
      <c r="I98" s="9"/>
      <c r="J98" s="9"/>
      <c r="K98" s="9">
        <f>SUM(B98:J98)</f>
        <v>12753.970000000001</v>
      </c>
      <c r="M98" s="9">
        <v>12753.97</v>
      </c>
      <c r="N98" s="9">
        <f>+K98-M98</f>
        <v>0</v>
      </c>
      <c r="O98" s="9"/>
      <c r="P98" s="9"/>
    </row>
    <row r="99" spans="1:16" x14ac:dyDescent="0.3">
      <c r="A99" s="2">
        <f>+A98+31</f>
        <v>44804</v>
      </c>
      <c r="B99" s="9">
        <f>+K98</f>
        <v>12753.970000000001</v>
      </c>
      <c r="C99" s="9"/>
      <c r="D99" s="9"/>
      <c r="E99" s="9"/>
      <c r="F99" s="9"/>
      <c r="G99" s="9"/>
      <c r="H99" s="9"/>
      <c r="I99" s="9"/>
      <c r="J99" s="9"/>
      <c r="K99" s="9">
        <f t="shared" ref="K99:K108" si="38">SUM(B99:J99)</f>
        <v>12753.970000000001</v>
      </c>
      <c r="M99" s="9">
        <f>+M98</f>
        <v>12753.97</v>
      </c>
      <c r="N99" s="9">
        <f t="shared" ref="N99:N109" si="39">+K99-M99</f>
        <v>0</v>
      </c>
      <c r="O99" s="9"/>
      <c r="P99" s="9"/>
    </row>
    <row r="100" spans="1:16" x14ac:dyDescent="0.3">
      <c r="A100" s="2">
        <f>+A99+30</f>
        <v>44834</v>
      </c>
      <c r="B100" s="9">
        <f t="shared" ref="B100:B109" si="40">+K99</f>
        <v>12753.970000000001</v>
      </c>
      <c r="C100" s="9"/>
      <c r="D100" s="9"/>
      <c r="E100" s="9"/>
      <c r="F100" s="9"/>
      <c r="G100" s="9"/>
      <c r="H100" s="9"/>
      <c r="I100" s="9"/>
      <c r="J100" s="9"/>
      <c r="K100" s="9">
        <f t="shared" si="38"/>
        <v>12753.970000000001</v>
      </c>
      <c r="M100" s="9">
        <f t="shared" ref="M100:M107" si="41">+M99</f>
        <v>12753.97</v>
      </c>
      <c r="N100" s="9">
        <f t="shared" si="39"/>
        <v>0</v>
      </c>
      <c r="O100" s="9"/>
      <c r="P100" s="9"/>
    </row>
    <row r="101" spans="1:16" x14ac:dyDescent="0.3">
      <c r="A101" s="2">
        <f t="shared" ref="A101:A108" si="42">+A100+31</f>
        <v>44865</v>
      </c>
      <c r="B101" s="9">
        <f t="shared" si="40"/>
        <v>12753.970000000001</v>
      </c>
      <c r="C101" s="9"/>
      <c r="D101" s="9"/>
      <c r="E101" s="9"/>
      <c r="F101" s="9"/>
      <c r="G101" s="9"/>
      <c r="H101" s="9"/>
      <c r="I101" s="9"/>
      <c r="J101" s="9"/>
      <c r="K101" s="9">
        <f t="shared" si="38"/>
        <v>12753.970000000001</v>
      </c>
      <c r="M101" s="9">
        <f t="shared" si="41"/>
        <v>12753.97</v>
      </c>
      <c r="N101" s="9">
        <f t="shared" si="39"/>
        <v>0</v>
      </c>
      <c r="O101" s="9"/>
      <c r="P101" s="9"/>
    </row>
    <row r="102" spans="1:16" x14ac:dyDescent="0.3">
      <c r="A102" s="2">
        <f>+A101+30</f>
        <v>44895</v>
      </c>
      <c r="B102" s="9">
        <f t="shared" si="40"/>
        <v>12753.970000000001</v>
      </c>
      <c r="C102" s="9"/>
      <c r="D102" s="9"/>
      <c r="E102" s="9"/>
      <c r="F102" s="9"/>
      <c r="G102" s="9"/>
      <c r="H102" s="9"/>
      <c r="I102" s="9"/>
      <c r="J102" s="9"/>
      <c r="K102" s="9">
        <f t="shared" si="38"/>
        <v>12753.970000000001</v>
      </c>
      <c r="M102" s="9">
        <f t="shared" si="41"/>
        <v>12753.97</v>
      </c>
      <c r="N102" s="9">
        <f t="shared" si="39"/>
        <v>0</v>
      </c>
      <c r="O102" s="9"/>
      <c r="P102" s="9"/>
    </row>
    <row r="103" spans="1:16" x14ac:dyDescent="0.3">
      <c r="A103" s="2">
        <f t="shared" si="42"/>
        <v>44926</v>
      </c>
      <c r="B103" s="9">
        <f t="shared" si="40"/>
        <v>12753.970000000001</v>
      </c>
      <c r="C103" s="9"/>
      <c r="D103" s="9"/>
      <c r="E103" s="9"/>
      <c r="F103" s="9"/>
      <c r="G103" s="9"/>
      <c r="H103" s="9"/>
      <c r="I103" s="9"/>
      <c r="J103" s="9"/>
      <c r="K103" s="9">
        <f t="shared" si="38"/>
        <v>12753.970000000001</v>
      </c>
      <c r="M103" s="9">
        <f t="shared" si="41"/>
        <v>12753.97</v>
      </c>
      <c r="N103" s="9">
        <f t="shared" si="39"/>
        <v>0</v>
      </c>
      <c r="O103" s="9"/>
      <c r="P103" s="9"/>
    </row>
    <row r="104" spans="1:16" x14ac:dyDescent="0.3">
      <c r="A104" s="2">
        <f t="shared" si="42"/>
        <v>44957</v>
      </c>
      <c r="B104" s="9">
        <f t="shared" si="40"/>
        <v>12753.970000000001</v>
      </c>
      <c r="C104" s="9"/>
      <c r="D104" s="9"/>
      <c r="E104" s="9"/>
      <c r="F104" s="9"/>
      <c r="G104" s="9"/>
      <c r="H104" s="9"/>
      <c r="I104" s="9"/>
      <c r="J104" s="9"/>
      <c r="K104" s="9">
        <f t="shared" si="38"/>
        <v>12753.970000000001</v>
      </c>
      <c r="M104" s="9">
        <f t="shared" si="41"/>
        <v>12753.97</v>
      </c>
      <c r="N104" s="9">
        <f t="shared" si="39"/>
        <v>0</v>
      </c>
      <c r="O104" s="9"/>
      <c r="P104" s="9"/>
    </row>
    <row r="105" spans="1:16" x14ac:dyDescent="0.3">
      <c r="A105" s="2">
        <f>+A104+28</f>
        <v>44985</v>
      </c>
      <c r="B105" s="9">
        <f t="shared" si="40"/>
        <v>12753.970000000001</v>
      </c>
      <c r="C105" s="9"/>
      <c r="D105" s="9"/>
      <c r="E105" s="9"/>
      <c r="F105" s="9"/>
      <c r="G105" s="9"/>
      <c r="H105" s="9"/>
      <c r="I105" s="9"/>
      <c r="J105" s="9"/>
      <c r="K105" s="9">
        <f t="shared" si="38"/>
        <v>12753.970000000001</v>
      </c>
      <c r="M105" s="9">
        <f t="shared" si="41"/>
        <v>12753.97</v>
      </c>
      <c r="N105" s="9">
        <f t="shared" si="39"/>
        <v>0</v>
      </c>
      <c r="O105" s="9"/>
      <c r="P105" s="9"/>
    </row>
    <row r="106" spans="1:16" x14ac:dyDescent="0.3">
      <c r="A106" s="2">
        <f t="shared" si="42"/>
        <v>45016</v>
      </c>
      <c r="B106" s="9">
        <f t="shared" si="40"/>
        <v>12753.970000000001</v>
      </c>
      <c r="C106" s="9"/>
      <c r="D106" s="9"/>
      <c r="E106" s="9"/>
      <c r="F106" s="9"/>
      <c r="G106" s="9"/>
      <c r="H106" s="9"/>
      <c r="I106" s="9"/>
      <c r="J106" s="9"/>
      <c r="K106" s="9">
        <f t="shared" si="38"/>
        <v>12753.970000000001</v>
      </c>
      <c r="M106" s="9">
        <f t="shared" si="41"/>
        <v>12753.97</v>
      </c>
      <c r="N106" s="9">
        <f t="shared" si="39"/>
        <v>0</v>
      </c>
      <c r="O106" s="9"/>
      <c r="P106" s="9"/>
    </row>
    <row r="107" spans="1:16" x14ac:dyDescent="0.3">
      <c r="A107" s="2">
        <f>+A106+30</f>
        <v>45046</v>
      </c>
      <c r="B107" s="9">
        <f t="shared" si="40"/>
        <v>12753.970000000001</v>
      </c>
      <c r="C107" s="9"/>
      <c r="D107" s="9"/>
      <c r="E107" s="9"/>
      <c r="F107" s="9"/>
      <c r="G107" s="9"/>
      <c r="H107" s="9"/>
      <c r="I107" s="9"/>
      <c r="J107" s="9"/>
      <c r="K107" s="9">
        <f t="shared" si="38"/>
        <v>12753.970000000001</v>
      </c>
      <c r="M107" s="9">
        <f t="shared" si="41"/>
        <v>12753.97</v>
      </c>
      <c r="N107" s="9">
        <f t="shared" si="39"/>
        <v>0</v>
      </c>
      <c r="O107" s="9"/>
    </row>
    <row r="108" spans="1:16" x14ac:dyDescent="0.3">
      <c r="A108" s="2">
        <f t="shared" si="42"/>
        <v>45077</v>
      </c>
      <c r="B108" s="9">
        <f t="shared" si="40"/>
        <v>12753.970000000001</v>
      </c>
      <c r="C108" s="9"/>
      <c r="D108" s="9">
        <v>-12753.97</v>
      </c>
      <c r="E108" s="9"/>
      <c r="F108" s="9"/>
      <c r="G108" s="9"/>
      <c r="H108" s="9"/>
      <c r="I108" s="9"/>
      <c r="J108" s="9"/>
      <c r="K108" s="9">
        <f t="shared" si="38"/>
        <v>0</v>
      </c>
      <c r="M108" s="9">
        <v>0</v>
      </c>
      <c r="N108" s="9">
        <f t="shared" si="39"/>
        <v>0</v>
      </c>
      <c r="O108" s="9"/>
      <c r="P108" s="9"/>
    </row>
    <row r="109" spans="1:16" x14ac:dyDescent="0.3">
      <c r="A109" s="2">
        <f>+A108+30</f>
        <v>45107</v>
      </c>
      <c r="B109" s="9">
        <f t="shared" si="40"/>
        <v>0</v>
      </c>
      <c r="C109" s="9"/>
      <c r="D109" s="9"/>
      <c r="E109" s="9"/>
      <c r="F109" s="9"/>
      <c r="G109" s="9"/>
      <c r="H109" s="9"/>
      <c r="I109" s="9"/>
      <c r="J109" s="9"/>
      <c r="K109" s="9">
        <f>SUM(B109:J109)</f>
        <v>0</v>
      </c>
      <c r="M109" s="9">
        <v>0</v>
      </c>
      <c r="N109" s="16">
        <f t="shared" si="39"/>
        <v>0</v>
      </c>
      <c r="O109" s="13"/>
      <c r="P109" s="9"/>
    </row>
    <row r="110" spans="1:16" ht="15" thickBot="1" x14ac:dyDescent="0.35">
      <c r="A110" t="s">
        <v>16</v>
      </c>
      <c r="B110" s="9">
        <f>+B98</f>
        <v>12753.970000000001</v>
      </c>
      <c r="C110" s="18">
        <f t="shared" ref="C110:J110" si="43">SUM(C98:C109)</f>
        <v>0</v>
      </c>
      <c r="D110" s="18">
        <f t="shared" si="43"/>
        <v>-12753.97</v>
      </c>
      <c r="E110" s="18">
        <f t="shared" si="43"/>
        <v>0</v>
      </c>
      <c r="F110" s="18">
        <f t="shared" si="43"/>
        <v>0</v>
      </c>
      <c r="G110" s="18">
        <f t="shared" si="43"/>
        <v>0</v>
      </c>
      <c r="H110" s="18">
        <f t="shared" si="43"/>
        <v>0</v>
      </c>
      <c r="I110" s="18">
        <f t="shared" si="43"/>
        <v>0</v>
      </c>
      <c r="J110" s="18">
        <f t="shared" si="43"/>
        <v>0</v>
      </c>
      <c r="K110" s="18">
        <f>+K109</f>
        <v>0</v>
      </c>
      <c r="M110" s="9"/>
      <c r="N110" s="5"/>
      <c r="O110" s="5"/>
      <c r="P110" s="5"/>
    </row>
    <row r="111" spans="1:16" ht="15" thickTop="1" x14ac:dyDescent="0.3"/>
    <row r="112" spans="1:16" ht="18" x14ac:dyDescent="0.3">
      <c r="A112" s="23">
        <v>2017</v>
      </c>
      <c r="H112" s="5"/>
      <c r="I112" s="5"/>
      <c r="J112" s="5"/>
      <c r="N112" s="9"/>
      <c r="O112" s="9"/>
      <c r="P112" s="9"/>
    </row>
    <row r="113" spans="1:16" x14ac:dyDescent="0.3">
      <c r="A113" s="32" t="s">
        <v>28</v>
      </c>
      <c r="M113" s="31" t="s">
        <v>33</v>
      </c>
    </row>
    <row r="114" spans="1:16" x14ac:dyDescent="0.3">
      <c r="C114" s="10" t="s">
        <v>19</v>
      </c>
      <c r="D114" s="10" t="s">
        <v>20</v>
      </c>
      <c r="E114" s="10" t="s">
        <v>19</v>
      </c>
      <c r="F114" s="10" t="s">
        <v>19</v>
      </c>
      <c r="G114" s="10" t="s">
        <v>20</v>
      </c>
      <c r="H114" s="10" t="s">
        <v>20</v>
      </c>
      <c r="I114" s="10" t="s">
        <v>21</v>
      </c>
      <c r="J114" s="10" t="s">
        <v>20</v>
      </c>
      <c r="K114" s="7" t="s">
        <v>10</v>
      </c>
      <c r="L114" s="7"/>
      <c r="M114" s="7" t="s">
        <v>9</v>
      </c>
    </row>
    <row r="115" spans="1:16" x14ac:dyDescent="0.3">
      <c r="B115" s="4" t="s">
        <v>1</v>
      </c>
      <c r="C115" s="6" t="s">
        <v>2</v>
      </c>
      <c r="D115" s="6" t="s">
        <v>3</v>
      </c>
      <c r="E115" s="6" t="s">
        <v>12</v>
      </c>
      <c r="F115" s="6" t="s">
        <v>4</v>
      </c>
      <c r="G115" s="6" t="s">
        <v>5</v>
      </c>
      <c r="H115" s="6" t="s">
        <v>13</v>
      </c>
      <c r="I115" s="6" t="s">
        <v>6</v>
      </c>
      <c r="J115" s="6" t="s">
        <v>7</v>
      </c>
      <c r="K115" s="6" t="s">
        <v>8</v>
      </c>
      <c r="L115" s="7"/>
      <c r="M115" s="6" t="s">
        <v>8</v>
      </c>
      <c r="N115" s="6" t="s">
        <v>14</v>
      </c>
      <c r="O115" s="7"/>
      <c r="P115" s="7"/>
    </row>
    <row r="116" spans="1:16" x14ac:dyDescent="0.3">
      <c r="A116" s="2">
        <v>44773</v>
      </c>
      <c r="B116" s="9">
        <v>3183.5400000000009</v>
      </c>
      <c r="C116" s="9"/>
      <c r="D116" s="9"/>
      <c r="E116" s="9"/>
      <c r="F116" s="9"/>
      <c r="G116" s="9"/>
      <c r="H116" s="9"/>
      <c r="I116" s="9"/>
      <c r="J116" s="9"/>
      <c r="K116" s="9">
        <f>SUM(B116:J116)</f>
        <v>3183.5400000000009</v>
      </c>
      <c r="M116" s="9">
        <v>3183.54</v>
      </c>
      <c r="N116" s="9">
        <f>+K116-M116</f>
        <v>0</v>
      </c>
      <c r="O116" s="9"/>
      <c r="P116" s="9"/>
    </row>
    <row r="117" spans="1:16" x14ac:dyDescent="0.3">
      <c r="A117" s="2">
        <f>+A116+31</f>
        <v>44804</v>
      </c>
      <c r="B117" s="9">
        <f>+K116</f>
        <v>3183.5400000000009</v>
      </c>
      <c r="C117" s="9"/>
      <c r="D117" s="9"/>
      <c r="E117" s="9"/>
      <c r="F117" s="9"/>
      <c r="G117" s="9"/>
      <c r="H117" s="9"/>
      <c r="I117" s="9"/>
      <c r="J117" s="9"/>
      <c r="K117" s="9">
        <f t="shared" ref="K117:K126" si="44">SUM(B117:J117)</f>
        <v>3183.5400000000009</v>
      </c>
      <c r="M117" s="9">
        <f>+M116</f>
        <v>3183.54</v>
      </c>
      <c r="N117" s="9">
        <f t="shared" ref="N117:N127" si="45">+K117-M117</f>
        <v>0</v>
      </c>
      <c r="O117" s="9"/>
      <c r="P117" s="9"/>
    </row>
    <row r="118" spans="1:16" x14ac:dyDescent="0.3">
      <c r="A118" s="2">
        <f>+A117+30</f>
        <v>44834</v>
      </c>
      <c r="B118" s="9">
        <f t="shared" ref="B118:B127" si="46">+K117</f>
        <v>3183.5400000000009</v>
      </c>
      <c r="C118" s="9"/>
      <c r="D118" s="9"/>
      <c r="E118" s="9"/>
      <c r="F118" s="9"/>
      <c r="G118" s="9"/>
      <c r="H118" s="9"/>
      <c r="I118" s="9"/>
      <c r="J118" s="9"/>
      <c r="K118" s="9">
        <f t="shared" si="44"/>
        <v>3183.5400000000009</v>
      </c>
      <c r="M118" s="9">
        <f t="shared" ref="M118:M125" si="47">+M117</f>
        <v>3183.54</v>
      </c>
      <c r="N118" s="9">
        <f t="shared" si="45"/>
        <v>0</v>
      </c>
      <c r="O118" s="9"/>
      <c r="P118" s="9"/>
    </row>
    <row r="119" spans="1:16" x14ac:dyDescent="0.3">
      <c r="A119" s="2">
        <f t="shared" ref="A119:A126" si="48">+A118+31</f>
        <v>44865</v>
      </c>
      <c r="B119" s="9">
        <f t="shared" si="46"/>
        <v>3183.5400000000009</v>
      </c>
      <c r="C119" s="9"/>
      <c r="D119" s="9"/>
      <c r="E119" s="9"/>
      <c r="F119" s="9"/>
      <c r="G119" s="9"/>
      <c r="H119" s="9"/>
      <c r="I119" s="9"/>
      <c r="J119" s="9"/>
      <c r="K119" s="9">
        <f t="shared" si="44"/>
        <v>3183.5400000000009</v>
      </c>
      <c r="M119" s="9">
        <f t="shared" si="47"/>
        <v>3183.54</v>
      </c>
      <c r="N119" s="9">
        <f t="shared" si="45"/>
        <v>0</v>
      </c>
      <c r="O119" s="9"/>
      <c r="P119" s="9"/>
    </row>
    <row r="120" spans="1:16" x14ac:dyDescent="0.3">
      <c r="A120" s="2">
        <f>+A119+30</f>
        <v>44895</v>
      </c>
      <c r="B120" s="9">
        <f t="shared" si="46"/>
        <v>3183.5400000000009</v>
      </c>
      <c r="C120" s="9"/>
      <c r="D120" s="9"/>
      <c r="E120" s="9"/>
      <c r="F120" s="9"/>
      <c r="G120" s="9"/>
      <c r="H120" s="9"/>
      <c r="I120" s="9"/>
      <c r="J120" s="9"/>
      <c r="K120" s="9">
        <f t="shared" si="44"/>
        <v>3183.5400000000009</v>
      </c>
      <c r="M120" s="9">
        <f t="shared" si="47"/>
        <v>3183.54</v>
      </c>
      <c r="N120" s="9">
        <f t="shared" si="45"/>
        <v>0</v>
      </c>
      <c r="O120" s="9"/>
      <c r="P120" s="9"/>
    </row>
    <row r="121" spans="1:16" x14ac:dyDescent="0.3">
      <c r="A121" s="2">
        <f t="shared" si="48"/>
        <v>44926</v>
      </c>
      <c r="B121" s="9">
        <f t="shared" si="46"/>
        <v>3183.5400000000009</v>
      </c>
      <c r="C121" s="9"/>
      <c r="D121" s="9"/>
      <c r="E121" s="9"/>
      <c r="F121" s="9"/>
      <c r="G121" s="9"/>
      <c r="H121" s="9"/>
      <c r="I121" s="9"/>
      <c r="J121" s="9"/>
      <c r="K121" s="9">
        <f t="shared" si="44"/>
        <v>3183.5400000000009</v>
      </c>
      <c r="M121" s="9">
        <f t="shared" si="47"/>
        <v>3183.54</v>
      </c>
      <c r="N121" s="9">
        <f t="shared" si="45"/>
        <v>0</v>
      </c>
      <c r="O121" s="9"/>
      <c r="P121" s="9"/>
    </row>
    <row r="122" spans="1:16" x14ac:dyDescent="0.3">
      <c r="A122" s="2">
        <f t="shared" si="48"/>
        <v>44957</v>
      </c>
      <c r="B122" s="9">
        <f t="shared" si="46"/>
        <v>3183.5400000000009</v>
      </c>
      <c r="C122" s="9"/>
      <c r="D122" s="9"/>
      <c r="E122" s="9"/>
      <c r="F122" s="9"/>
      <c r="G122" s="9"/>
      <c r="H122" s="9"/>
      <c r="I122" s="9"/>
      <c r="J122" s="9"/>
      <c r="K122" s="9">
        <f t="shared" si="44"/>
        <v>3183.5400000000009</v>
      </c>
      <c r="M122" s="9">
        <f t="shared" si="47"/>
        <v>3183.54</v>
      </c>
      <c r="N122" s="9">
        <f t="shared" si="45"/>
        <v>0</v>
      </c>
      <c r="O122" s="9"/>
      <c r="P122" s="9"/>
    </row>
    <row r="123" spans="1:16" x14ac:dyDescent="0.3">
      <c r="A123" s="2">
        <f>+A122+28</f>
        <v>44985</v>
      </c>
      <c r="B123" s="9">
        <f t="shared" si="46"/>
        <v>3183.5400000000009</v>
      </c>
      <c r="C123" s="9"/>
      <c r="D123" s="9"/>
      <c r="E123" s="9"/>
      <c r="F123" s="9"/>
      <c r="G123" s="9"/>
      <c r="H123" s="9"/>
      <c r="I123" s="9"/>
      <c r="J123" s="9"/>
      <c r="K123" s="9">
        <f t="shared" si="44"/>
        <v>3183.5400000000009</v>
      </c>
      <c r="M123" s="9">
        <f t="shared" si="47"/>
        <v>3183.54</v>
      </c>
      <c r="N123" s="9">
        <f t="shared" si="45"/>
        <v>0</v>
      </c>
      <c r="O123" s="9"/>
      <c r="P123" s="9"/>
    </row>
    <row r="124" spans="1:16" x14ac:dyDescent="0.3">
      <c r="A124" s="2">
        <f t="shared" si="48"/>
        <v>45016</v>
      </c>
      <c r="B124" s="9">
        <f t="shared" si="46"/>
        <v>3183.5400000000009</v>
      </c>
      <c r="C124" s="9"/>
      <c r="D124" s="9"/>
      <c r="E124" s="9"/>
      <c r="F124" s="9"/>
      <c r="G124" s="9"/>
      <c r="H124" s="9"/>
      <c r="I124" s="9"/>
      <c r="J124" s="9"/>
      <c r="K124" s="9">
        <f t="shared" si="44"/>
        <v>3183.5400000000009</v>
      </c>
      <c r="M124" s="9">
        <f t="shared" si="47"/>
        <v>3183.54</v>
      </c>
      <c r="N124" s="9">
        <f t="shared" si="45"/>
        <v>0</v>
      </c>
      <c r="O124" s="9"/>
      <c r="P124" s="9"/>
    </row>
    <row r="125" spans="1:16" x14ac:dyDescent="0.3">
      <c r="A125" s="2">
        <f>+A124+30</f>
        <v>45046</v>
      </c>
      <c r="B125" s="9">
        <f t="shared" si="46"/>
        <v>3183.5400000000009</v>
      </c>
      <c r="C125" s="9"/>
      <c r="D125" s="9"/>
      <c r="E125" s="9"/>
      <c r="F125" s="9"/>
      <c r="G125" s="9"/>
      <c r="H125" s="9"/>
      <c r="I125" s="9"/>
      <c r="J125" s="9"/>
      <c r="K125" s="9">
        <f t="shared" si="44"/>
        <v>3183.5400000000009</v>
      </c>
      <c r="M125" s="9">
        <f t="shared" si="47"/>
        <v>3183.54</v>
      </c>
      <c r="N125" s="9">
        <f t="shared" si="45"/>
        <v>0</v>
      </c>
      <c r="O125" s="9"/>
    </row>
    <row r="126" spans="1:16" x14ac:dyDescent="0.3">
      <c r="A126" s="2">
        <f t="shared" si="48"/>
        <v>45077</v>
      </c>
      <c r="B126" s="9">
        <f t="shared" si="46"/>
        <v>3183.5400000000009</v>
      </c>
      <c r="C126" s="9"/>
      <c r="D126" s="9">
        <v>-3163.95</v>
      </c>
      <c r="E126" s="9"/>
      <c r="F126" s="9"/>
      <c r="G126" s="9"/>
      <c r="H126" s="9"/>
      <c r="I126" s="9"/>
      <c r="J126" s="9"/>
      <c r="K126" s="9">
        <f t="shared" si="44"/>
        <v>19.590000000001055</v>
      </c>
      <c r="M126" s="9">
        <v>19.59</v>
      </c>
      <c r="N126" s="9">
        <f t="shared" si="45"/>
        <v>1.0551559626037488E-12</v>
      </c>
      <c r="O126" s="9"/>
      <c r="P126" s="9"/>
    </row>
    <row r="127" spans="1:16" x14ac:dyDescent="0.3">
      <c r="A127" s="2">
        <f>+A126+30</f>
        <v>45107</v>
      </c>
      <c r="B127" s="9">
        <f t="shared" si="46"/>
        <v>19.590000000001055</v>
      </c>
      <c r="C127" s="9"/>
      <c r="D127" s="9"/>
      <c r="E127" s="9"/>
      <c r="F127" s="9"/>
      <c r="G127" s="9"/>
      <c r="H127" s="9"/>
      <c r="I127" s="9"/>
      <c r="J127" s="9"/>
      <c r="K127" s="9">
        <f>SUM(B127:J127)</f>
        <v>19.590000000001055</v>
      </c>
      <c r="M127" s="9">
        <f>+M126</f>
        <v>19.59</v>
      </c>
      <c r="N127" s="16">
        <f t="shared" si="45"/>
        <v>1.0551559626037488E-12</v>
      </c>
      <c r="O127" s="13"/>
      <c r="P127" s="9"/>
    </row>
    <row r="128" spans="1:16" ht="15" thickBot="1" x14ac:dyDescent="0.35">
      <c r="A128" t="s">
        <v>16</v>
      </c>
      <c r="B128" s="9">
        <f>+B116</f>
        <v>3183.5400000000009</v>
      </c>
      <c r="C128" s="18">
        <f t="shared" ref="C128:J128" si="49">SUM(C116:C127)</f>
        <v>0</v>
      </c>
      <c r="D128" s="18">
        <f t="shared" si="49"/>
        <v>-3163.95</v>
      </c>
      <c r="E128" s="18">
        <f t="shared" si="49"/>
        <v>0</v>
      </c>
      <c r="F128" s="18">
        <f t="shared" si="49"/>
        <v>0</v>
      </c>
      <c r="G128" s="18">
        <f t="shared" si="49"/>
        <v>0</v>
      </c>
      <c r="H128" s="18">
        <f t="shared" si="49"/>
        <v>0</v>
      </c>
      <c r="I128" s="18">
        <f t="shared" si="49"/>
        <v>0</v>
      </c>
      <c r="J128" s="18">
        <f t="shared" si="49"/>
        <v>0</v>
      </c>
      <c r="K128" s="18">
        <f>+K127</f>
        <v>19.590000000001055</v>
      </c>
      <c r="M128" s="9"/>
      <c r="N128" s="5"/>
      <c r="O128" s="5"/>
      <c r="P128" s="5"/>
    </row>
    <row r="129" ht="15" thickTop="1" x14ac:dyDescent="0.3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P21"/>
  <sheetViews>
    <sheetView zoomScaleNormal="100" zoomScaleSheetLayoutView="70" workbookViewId="0">
      <pane ySplit="1" topLeftCell="A2" activePane="bottomLeft" state="frozen"/>
      <selection activeCell="O26" sqref="O26:P26"/>
      <selection pane="bottomLeft" activeCell="M19" sqref="M19"/>
    </sheetView>
  </sheetViews>
  <sheetFormatPr defaultRowHeight="14.4" x14ac:dyDescent="0.3"/>
  <cols>
    <col min="1" max="1" width="13.33203125" customWidth="1"/>
    <col min="2" max="2" width="12.109375" bestFit="1" customWidth="1"/>
    <col min="3" max="3" width="14.88671875" bestFit="1" customWidth="1"/>
    <col min="4" max="4" width="12.33203125" bestFit="1" customWidth="1"/>
    <col min="5" max="5" width="14.109375" bestFit="1" customWidth="1"/>
    <col min="7" max="7" width="12.88671875" bestFit="1" customWidth="1"/>
    <col min="8" max="8" width="11.44140625" bestFit="1" customWidth="1"/>
    <col min="9" max="9" width="13.88671875" bestFit="1" customWidth="1"/>
    <col min="10" max="10" width="11.6640625" bestFit="1" customWidth="1"/>
    <col min="11" max="11" width="16.6640625" bestFit="1" customWidth="1"/>
    <col min="12" max="12" width="3" customWidth="1"/>
    <col min="13" max="13" width="20" bestFit="1" customWidth="1"/>
    <col min="14" max="14" width="12.109375" style="3" customWidth="1"/>
    <col min="15" max="15" width="24.88671875" customWidth="1"/>
    <col min="16" max="16" width="14.5546875" customWidth="1"/>
    <col min="17" max="17" width="18.88671875" customWidth="1"/>
    <col min="18" max="18" width="10.109375" bestFit="1" customWidth="1"/>
  </cols>
  <sheetData>
    <row r="3" spans="1:16" ht="18" x14ac:dyDescent="0.3">
      <c r="A3" s="23">
        <v>2019</v>
      </c>
      <c r="M3" s="3"/>
    </row>
    <row r="4" spans="1:16" x14ac:dyDescent="0.3">
      <c r="A4" s="32" t="s">
        <v>17</v>
      </c>
      <c r="M4" s="31" t="s">
        <v>58</v>
      </c>
    </row>
    <row r="5" spans="1:16" x14ac:dyDescent="0.3">
      <c r="B5" s="7"/>
      <c r="C5" s="10" t="s">
        <v>19</v>
      </c>
      <c r="D5" s="10" t="s">
        <v>20</v>
      </c>
      <c r="E5" s="10" t="s">
        <v>19</v>
      </c>
      <c r="F5" s="10" t="s">
        <v>19</v>
      </c>
      <c r="G5" s="10" t="s">
        <v>20</v>
      </c>
      <c r="H5" s="10" t="s">
        <v>20</v>
      </c>
      <c r="I5" s="10" t="s">
        <v>21</v>
      </c>
      <c r="J5" s="10" t="s">
        <v>20</v>
      </c>
      <c r="K5" s="7" t="s">
        <v>10</v>
      </c>
      <c r="M5" s="7" t="s">
        <v>9</v>
      </c>
      <c r="P5" s="7"/>
    </row>
    <row r="6" spans="1:16" x14ac:dyDescent="0.3">
      <c r="B6" s="6" t="s">
        <v>1</v>
      </c>
      <c r="C6" s="6" t="s">
        <v>2</v>
      </c>
      <c r="D6" s="6" t="s">
        <v>3</v>
      </c>
      <c r="E6" s="6" t="s">
        <v>12</v>
      </c>
      <c r="F6" s="6" t="s">
        <v>4</v>
      </c>
      <c r="G6" s="6" t="s">
        <v>5</v>
      </c>
      <c r="H6" s="6" t="s">
        <v>13</v>
      </c>
      <c r="I6" s="6" t="s">
        <v>6</v>
      </c>
      <c r="J6" s="6" t="s">
        <v>7</v>
      </c>
      <c r="K6" s="6" t="s">
        <v>8</v>
      </c>
      <c r="M6" s="6" t="s">
        <v>8</v>
      </c>
      <c r="N6" s="30" t="s">
        <v>14</v>
      </c>
      <c r="P6" s="9"/>
    </row>
    <row r="7" spans="1:16" x14ac:dyDescent="0.3">
      <c r="A7" s="2">
        <v>44773</v>
      </c>
      <c r="B7" s="9">
        <v>4618.67</v>
      </c>
      <c r="C7" s="9"/>
      <c r="D7" s="9"/>
      <c r="E7" s="9"/>
      <c r="F7" s="9"/>
      <c r="G7" s="9"/>
      <c r="H7" s="9"/>
      <c r="I7" s="9"/>
      <c r="J7" s="9"/>
      <c r="K7" s="9">
        <f>SUM(B7:J7)</f>
        <v>4618.67</v>
      </c>
      <c r="M7" s="3">
        <v>4618.67</v>
      </c>
      <c r="N7" s="3">
        <f t="shared" ref="N7:N14" si="0">+K7-M7</f>
        <v>0</v>
      </c>
      <c r="P7" s="9"/>
    </row>
    <row r="8" spans="1:16" x14ac:dyDescent="0.3">
      <c r="A8" s="2">
        <f>+A7+31</f>
        <v>44804</v>
      </c>
      <c r="B8" s="9">
        <f>+K7</f>
        <v>4618.67</v>
      </c>
      <c r="C8" s="9"/>
      <c r="D8" s="9"/>
      <c r="E8" s="9"/>
      <c r="F8" s="9"/>
      <c r="G8" s="9"/>
      <c r="H8" s="9"/>
      <c r="I8" s="9"/>
      <c r="J8" s="9"/>
      <c r="K8" s="9">
        <f t="shared" ref="K8:K18" si="1">SUM(B8:J8)</f>
        <v>4618.67</v>
      </c>
      <c r="M8" s="3">
        <f>+M7</f>
        <v>4618.67</v>
      </c>
      <c r="N8" s="3">
        <f t="shared" si="0"/>
        <v>0</v>
      </c>
      <c r="P8" s="9"/>
    </row>
    <row r="9" spans="1:16" x14ac:dyDescent="0.3">
      <c r="A9" s="2">
        <f>+A8+30</f>
        <v>44834</v>
      </c>
      <c r="B9" s="9">
        <f t="shared" ref="B9:B14" si="2">+K8</f>
        <v>4618.67</v>
      </c>
      <c r="C9" s="9"/>
      <c r="D9" s="9"/>
      <c r="E9" s="9"/>
      <c r="F9" s="9"/>
      <c r="G9" s="9"/>
      <c r="H9" s="9"/>
      <c r="I9" s="9"/>
      <c r="J9" s="9"/>
      <c r="K9" s="9">
        <f t="shared" si="1"/>
        <v>4618.67</v>
      </c>
      <c r="M9" s="3">
        <f t="shared" ref="M9:M16" si="3">+M8</f>
        <v>4618.67</v>
      </c>
      <c r="N9" s="3">
        <f t="shared" si="0"/>
        <v>0</v>
      </c>
      <c r="P9" s="9"/>
    </row>
    <row r="10" spans="1:16" x14ac:dyDescent="0.3">
      <c r="A10" s="2">
        <f t="shared" ref="A10:A17" si="4">+A9+31</f>
        <v>44865</v>
      </c>
      <c r="B10" s="9">
        <f t="shared" si="2"/>
        <v>4618.67</v>
      </c>
      <c r="C10" s="9"/>
      <c r="D10" s="9"/>
      <c r="E10" s="9"/>
      <c r="F10" s="9"/>
      <c r="G10" s="9"/>
      <c r="H10" s="9"/>
      <c r="I10" s="9"/>
      <c r="J10" s="9"/>
      <c r="K10" s="9">
        <f t="shared" si="1"/>
        <v>4618.67</v>
      </c>
      <c r="M10" s="3">
        <f t="shared" si="3"/>
        <v>4618.67</v>
      </c>
      <c r="N10" s="3">
        <f t="shared" si="0"/>
        <v>0</v>
      </c>
      <c r="P10" s="9"/>
    </row>
    <row r="11" spans="1:16" x14ac:dyDescent="0.3">
      <c r="A11" s="2">
        <f>+A10+30</f>
        <v>44895</v>
      </c>
      <c r="B11" s="9">
        <f t="shared" si="2"/>
        <v>4618.67</v>
      </c>
      <c r="C11" s="9"/>
      <c r="D11" s="9"/>
      <c r="E11" s="9"/>
      <c r="F11" s="9"/>
      <c r="G11" s="9"/>
      <c r="H11" s="9"/>
      <c r="I11" s="9"/>
      <c r="J11" s="9"/>
      <c r="K11" s="9">
        <f t="shared" si="1"/>
        <v>4618.67</v>
      </c>
      <c r="M11" s="3">
        <f t="shared" si="3"/>
        <v>4618.67</v>
      </c>
      <c r="N11" s="3">
        <f t="shared" si="0"/>
        <v>0</v>
      </c>
      <c r="P11" s="9"/>
    </row>
    <row r="12" spans="1:16" collapsed="1" x14ac:dyDescent="0.3">
      <c r="A12" s="2">
        <f t="shared" si="4"/>
        <v>44926</v>
      </c>
      <c r="B12" s="9">
        <f t="shared" si="2"/>
        <v>4618.67</v>
      </c>
      <c r="C12" s="9"/>
      <c r="D12" s="9"/>
      <c r="E12" s="9"/>
      <c r="F12" s="9"/>
      <c r="G12" s="9"/>
      <c r="H12" s="9"/>
      <c r="I12" s="9"/>
      <c r="J12" s="9"/>
      <c r="K12" s="9">
        <f t="shared" si="1"/>
        <v>4618.67</v>
      </c>
      <c r="M12" s="3">
        <f t="shared" si="3"/>
        <v>4618.67</v>
      </c>
      <c r="N12" s="3">
        <f t="shared" si="0"/>
        <v>0</v>
      </c>
      <c r="P12" s="9"/>
    </row>
    <row r="13" spans="1:16" x14ac:dyDescent="0.3">
      <c r="A13" s="2">
        <f t="shared" si="4"/>
        <v>44957</v>
      </c>
      <c r="B13" s="9">
        <f t="shared" si="2"/>
        <v>4618.67</v>
      </c>
      <c r="C13" s="9"/>
      <c r="D13" s="9"/>
      <c r="E13" s="9"/>
      <c r="F13" s="9"/>
      <c r="G13" s="9"/>
      <c r="H13" s="9"/>
      <c r="I13" s="9"/>
      <c r="J13" s="9"/>
      <c r="K13" s="9">
        <f t="shared" si="1"/>
        <v>4618.67</v>
      </c>
      <c r="M13" s="3">
        <f t="shared" si="3"/>
        <v>4618.67</v>
      </c>
      <c r="N13" s="3">
        <f t="shared" si="0"/>
        <v>0</v>
      </c>
      <c r="P13" s="9"/>
    </row>
    <row r="14" spans="1:16" x14ac:dyDescent="0.3">
      <c r="A14" s="2">
        <f>+A13+28</f>
        <v>44985</v>
      </c>
      <c r="B14" s="9">
        <f t="shared" si="2"/>
        <v>4618.67</v>
      </c>
      <c r="C14" s="9"/>
      <c r="D14" s="9"/>
      <c r="E14" s="9"/>
      <c r="F14" s="9"/>
      <c r="G14" s="9"/>
      <c r="H14" s="9"/>
      <c r="I14" s="9"/>
      <c r="J14" s="9"/>
      <c r="K14" s="9">
        <f t="shared" si="1"/>
        <v>4618.67</v>
      </c>
      <c r="M14" s="3">
        <f t="shared" si="3"/>
        <v>4618.67</v>
      </c>
      <c r="N14" s="3">
        <f t="shared" si="0"/>
        <v>0</v>
      </c>
      <c r="P14" s="9"/>
    </row>
    <row r="15" spans="1:16" x14ac:dyDescent="0.3">
      <c r="A15" s="2">
        <f t="shared" si="4"/>
        <v>45016</v>
      </c>
      <c r="B15" s="9">
        <f>+K14</f>
        <v>4618.67</v>
      </c>
      <c r="C15" s="9"/>
      <c r="D15" s="9"/>
      <c r="E15" s="9"/>
      <c r="F15" s="9"/>
      <c r="G15" s="9"/>
      <c r="H15" s="9"/>
      <c r="I15" s="9"/>
      <c r="J15" s="9"/>
      <c r="K15" s="9">
        <f t="shared" si="1"/>
        <v>4618.67</v>
      </c>
      <c r="M15" s="3">
        <f t="shared" si="3"/>
        <v>4618.67</v>
      </c>
      <c r="N15" s="3">
        <f>+K15-M15</f>
        <v>0</v>
      </c>
      <c r="P15" s="9"/>
    </row>
    <row r="16" spans="1:16" x14ac:dyDescent="0.3">
      <c r="A16" s="2">
        <f>+A15+30</f>
        <v>45046</v>
      </c>
      <c r="B16" s="9">
        <f>+K15</f>
        <v>4618.67</v>
      </c>
      <c r="C16" s="9"/>
      <c r="D16" s="9"/>
      <c r="E16" s="9"/>
      <c r="F16" s="9"/>
      <c r="G16" s="9"/>
      <c r="H16" s="9"/>
      <c r="I16" s="9"/>
      <c r="J16" s="9"/>
      <c r="K16" s="9">
        <f t="shared" si="1"/>
        <v>4618.67</v>
      </c>
      <c r="M16" s="3">
        <f t="shared" si="3"/>
        <v>4618.67</v>
      </c>
      <c r="N16" s="3">
        <f>+K16-M16</f>
        <v>0</v>
      </c>
      <c r="P16" s="9"/>
    </row>
    <row r="17" spans="1:16" x14ac:dyDescent="0.3">
      <c r="A17" s="2">
        <f t="shared" si="4"/>
        <v>45077</v>
      </c>
      <c r="B17" s="9">
        <f>+K16</f>
        <v>4618.67</v>
      </c>
      <c r="C17" s="9"/>
      <c r="D17" s="9">
        <v>-4618.67</v>
      </c>
      <c r="E17" s="9"/>
      <c r="F17" s="9"/>
      <c r="G17" s="9"/>
      <c r="H17" s="9"/>
      <c r="I17" s="9"/>
      <c r="J17" s="9"/>
      <c r="K17" s="9">
        <f t="shared" si="1"/>
        <v>0</v>
      </c>
      <c r="M17" s="3">
        <v>0</v>
      </c>
      <c r="N17" s="3">
        <f>+K17-M17</f>
        <v>0</v>
      </c>
      <c r="P17" s="9"/>
    </row>
    <row r="18" spans="1:16" x14ac:dyDescent="0.3">
      <c r="A18" s="2">
        <f>+A17+30</f>
        <v>45107</v>
      </c>
      <c r="B18" s="9">
        <f>+K17</f>
        <v>0</v>
      </c>
      <c r="C18" s="9"/>
      <c r="D18" s="9"/>
      <c r="E18" s="9"/>
      <c r="F18" s="9"/>
      <c r="G18" s="9"/>
      <c r="H18" s="9"/>
      <c r="I18" s="9"/>
      <c r="J18" s="9"/>
      <c r="K18" s="9">
        <f t="shared" si="1"/>
        <v>0</v>
      </c>
      <c r="M18" s="3">
        <v>0</v>
      </c>
      <c r="N18" s="16">
        <f>+K18-M18</f>
        <v>0</v>
      </c>
    </row>
    <row r="19" spans="1:16" x14ac:dyDescent="0.3">
      <c r="B19" s="3"/>
      <c r="C19" s="9"/>
      <c r="D19" s="9"/>
      <c r="E19" s="9"/>
      <c r="F19" s="9"/>
      <c r="G19" s="9"/>
      <c r="H19" s="9"/>
      <c r="I19" s="9"/>
      <c r="J19" s="9"/>
      <c r="K19" s="9"/>
      <c r="P19" s="5"/>
    </row>
    <row r="20" spans="1:16" ht="14.4" customHeight="1" thickBot="1" x14ac:dyDescent="0.35">
      <c r="A20" t="s">
        <v>16</v>
      </c>
      <c r="B20" s="3">
        <f>+B7</f>
        <v>4618.67</v>
      </c>
      <c r="C20" s="18">
        <f>SUM(C7:C18)</f>
        <v>0</v>
      </c>
      <c r="D20" s="18">
        <f t="shared" ref="D20:J20" si="5">SUM(D7:D18)</f>
        <v>-4618.67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>SUM(B20:J20)</f>
        <v>0</v>
      </c>
      <c r="P20" s="5"/>
    </row>
    <row r="21" spans="1:16" ht="15" thickTop="1" x14ac:dyDescent="0.3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2:X170"/>
  <sheetViews>
    <sheetView zoomScale="85" zoomScaleNormal="85" workbookViewId="0">
      <pane ySplit="3" topLeftCell="A142" activePane="bottomLeft" state="frozen"/>
      <selection activeCell="O26" sqref="O26:P26"/>
      <selection pane="bottomLeft" activeCell="R26" sqref="R26"/>
    </sheetView>
  </sheetViews>
  <sheetFormatPr defaultRowHeight="14.4" x14ac:dyDescent="0.3"/>
  <cols>
    <col min="1" max="1" width="13.88671875" customWidth="1"/>
    <col min="2" max="2" width="12.44140625" bestFit="1" customWidth="1"/>
    <col min="3" max="3" width="14.88671875" style="44" bestFit="1" customWidth="1"/>
    <col min="4" max="4" width="13" style="44" bestFit="1" customWidth="1"/>
    <col min="5" max="5" width="14.109375" style="44" bestFit="1" customWidth="1"/>
    <col min="6" max="6" width="10" style="44" bestFit="1" customWidth="1"/>
    <col min="7" max="7" width="12.88671875" style="44" bestFit="1" customWidth="1"/>
    <col min="8" max="8" width="11.44140625" style="44" bestFit="1" customWidth="1"/>
    <col min="9" max="9" width="13.88671875" style="44" bestFit="1" customWidth="1"/>
    <col min="10" max="10" width="9.33203125" style="44" bestFit="1" customWidth="1"/>
    <col min="11" max="11" width="15.6640625" style="44" customWidth="1"/>
    <col min="12" max="12" width="3" style="44" customWidth="1"/>
    <col min="13" max="13" width="15.6640625" style="44" customWidth="1"/>
    <col min="14" max="14" width="12.5546875" bestFit="1" customWidth="1"/>
    <col min="15" max="15" width="13" customWidth="1"/>
    <col min="16" max="16" width="12.109375" style="3" bestFit="1" customWidth="1"/>
    <col min="17" max="17" width="15.5546875" style="3" customWidth="1"/>
    <col min="18" max="18" width="13.6640625" customWidth="1"/>
    <col min="19" max="19" width="12.77734375" style="9" bestFit="1" customWidth="1"/>
    <col min="20" max="22" width="10.33203125" bestFit="1" customWidth="1"/>
    <col min="23" max="23" width="11.33203125" bestFit="1" customWidth="1"/>
    <col min="26" max="26" width="24.5546875" bestFit="1" customWidth="1"/>
  </cols>
  <sheetData>
    <row r="2" spans="1:22" x14ac:dyDescent="0.3">
      <c r="A2" s="12" t="s">
        <v>23</v>
      </c>
      <c r="M2" s="46"/>
    </row>
    <row r="3" spans="1:22" x14ac:dyDescent="0.3">
      <c r="A3" s="12"/>
    </row>
    <row r="4" spans="1:22" ht="18" x14ac:dyDescent="0.3">
      <c r="A4" s="23">
        <v>2023</v>
      </c>
      <c r="P4" s="9"/>
      <c r="Q4" s="9"/>
    </row>
    <row r="5" spans="1:22" x14ac:dyDescent="0.3">
      <c r="A5" s="32" t="s">
        <v>48</v>
      </c>
      <c r="M5" s="44" t="s">
        <v>52</v>
      </c>
      <c r="P5" s="9"/>
      <c r="Q5" s="9"/>
    </row>
    <row r="6" spans="1:22" s="21" customFormat="1" x14ac:dyDescent="0.3">
      <c r="C6" s="47" t="s">
        <v>19</v>
      </c>
      <c r="D6" s="47" t="s">
        <v>20</v>
      </c>
      <c r="E6" s="47" t="s">
        <v>19</v>
      </c>
      <c r="F6" s="47" t="s">
        <v>19</v>
      </c>
      <c r="G6" s="47" t="s">
        <v>20</v>
      </c>
      <c r="H6" s="47" t="s">
        <v>20</v>
      </c>
      <c r="I6" s="47" t="s">
        <v>21</v>
      </c>
      <c r="J6" s="47" t="s">
        <v>20</v>
      </c>
      <c r="K6" s="47" t="s">
        <v>10</v>
      </c>
      <c r="L6" s="47"/>
      <c r="M6" s="47" t="s">
        <v>9</v>
      </c>
      <c r="P6" s="29"/>
      <c r="Q6" s="29"/>
      <c r="S6" s="29"/>
    </row>
    <row r="7" spans="1:22" x14ac:dyDescent="0.3">
      <c r="B7" s="4" t="s">
        <v>1</v>
      </c>
      <c r="C7" s="48" t="s">
        <v>2</v>
      </c>
      <c r="D7" s="48" t="s">
        <v>3</v>
      </c>
      <c r="E7" s="48" t="s">
        <v>12</v>
      </c>
      <c r="F7" s="48" t="s">
        <v>4</v>
      </c>
      <c r="G7" s="48" t="s">
        <v>5</v>
      </c>
      <c r="H7" s="48" t="s">
        <v>13</v>
      </c>
      <c r="I7" s="48" t="s">
        <v>6</v>
      </c>
      <c r="J7" s="48" t="s">
        <v>7</v>
      </c>
      <c r="K7" s="48" t="s">
        <v>8</v>
      </c>
      <c r="M7" s="49" t="s">
        <v>8</v>
      </c>
      <c r="N7" s="6" t="s">
        <v>14</v>
      </c>
      <c r="O7" s="7"/>
      <c r="P7" s="33"/>
      <c r="Q7" s="9"/>
    </row>
    <row r="8" spans="1:22" ht="18" x14ac:dyDescent="0.35">
      <c r="A8" s="2">
        <v>44773</v>
      </c>
      <c r="B8" s="9">
        <v>0</v>
      </c>
      <c r="C8" s="9"/>
      <c r="D8" s="9"/>
      <c r="E8" s="9"/>
      <c r="F8" s="9"/>
      <c r="G8" s="9"/>
      <c r="H8" s="9"/>
      <c r="I8" s="9"/>
      <c r="J8" s="9"/>
      <c r="K8" s="9">
        <f>SUM(B8:J8)</f>
        <v>0</v>
      </c>
      <c r="M8" s="9">
        <v>0</v>
      </c>
      <c r="N8" s="9">
        <f>+K8-M8</f>
        <v>0</v>
      </c>
      <c r="O8" s="9"/>
      <c r="P8">
        <v>2023</v>
      </c>
      <c r="Q8" s="9"/>
      <c r="U8" s="5"/>
      <c r="V8" s="34"/>
    </row>
    <row r="9" spans="1:22" ht="18" x14ac:dyDescent="0.35">
      <c r="A9" s="2">
        <f>+A8+31</f>
        <v>44804</v>
      </c>
      <c r="B9" s="9">
        <f>+K8</f>
        <v>0</v>
      </c>
      <c r="C9" s="9"/>
      <c r="D9" s="9"/>
      <c r="E9" s="9"/>
      <c r="F9" s="9"/>
      <c r="G9" s="9"/>
      <c r="H9" s="9"/>
      <c r="I9" s="9"/>
      <c r="J9" s="9"/>
      <c r="K9" s="9">
        <f t="shared" ref="K9:K19" si="0">SUM(B9:J9)</f>
        <v>0</v>
      </c>
      <c r="M9" s="9">
        <v>0</v>
      </c>
      <c r="N9" s="9">
        <f>+K9-M9</f>
        <v>0</v>
      </c>
      <c r="O9" s="9"/>
      <c r="P9" s="9"/>
      <c r="Q9" s="9"/>
      <c r="U9" s="5"/>
      <c r="V9" s="34"/>
    </row>
    <row r="10" spans="1:22" ht="18" x14ac:dyDescent="0.35">
      <c r="A10" s="2">
        <f>+A9+30</f>
        <v>44834</v>
      </c>
      <c r="B10" s="9">
        <f t="shared" ref="B10:B19" si="1">+K9</f>
        <v>0</v>
      </c>
      <c r="C10" s="9"/>
      <c r="D10" s="9"/>
      <c r="E10" s="9"/>
      <c r="F10" s="9"/>
      <c r="G10" s="9"/>
      <c r="H10" s="9"/>
      <c r="I10" s="9"/>
      <c r="J10" s="9"/>
      <c r="K10" s="9">
        <f t="shared" si="0"/>
        <v>0</v>
      </c>
      <c r="M10" s="9">
        <v>0</v>
      </c>
      <c r="N10" s="9">
        <f t="shared" ref="N10:N18" si="2">+K10-M10</f>
        <v>0</v>
      </c>
      <c r="O10" s="9"/>
      <c r="P10" s="9"/>
      <c r="Q10" s="9"/>
      <c r="U10" s="5"/>
      <c r="V10" s="34"/>
    </row>
    <row r="11" spans="1:22" ht="18" x14ac:dyDescent="0.35">
      <c r="A11" s="2">
        <f t="shared" ref="A11:A18" si="3">+A10+31</f>
        <v>44865</v>
      </c>
      <c r="B11" s="9">
        <f t="shared" si="1"/>
        <v>0</v>
      </c>
      <c r="C11" s="9"/>
      <c r="D11" s="9"/>
      <c r="E11" s="9"/>
      <c r="F11" s="9"/>
      <c r="G11" s="9"/>
      <c r="H11" s="9"/>
      <c r="I11" s="9"/>
      <c r="J11" s="9"/>
      <c r="K11" s="9">
        <f t="shared" si="0"/>
        <v>0</v>
      </c>
      <c r="M11" s="9">
        <v>0</v>
      </c>
      <c r="N11" s="9">
        <f t="shared" si="2"/>
        <v>0</v>
      </c>
      <c r="O11" s="9"/>
      <c r="P11" s="9"/>
      <c r="Q11" s="9"/>
      <c r="R11" t="s">
        <v>105</v>
      </c>
      <c r="S11" s="9">
        <v>0.98</v>
      </c>
      <c r="U11" s="5"/>
      <c r="V11" s="34"/>
    </row>
    <row r="12" spans="1:22" ht="18" x14ac:dyDescent="0.35">
      <c r="A12" s="2">
        <f>+A11+30</f>
        <v>44895</v>
      </c>
      <c r="B12" s="9">
        <f t="shared" si="1"/>
        <v>0</v>
      </c>
      <c r="C12" s="9"/>
      <c r="D12" s="9"/>
      <c r="E12" s="9"/>
      <c r="F12" s="9"/>
      <c r="G12" s="9"/>
      <c r="H12" s="9"/>
      <c r="I12" s="9"/>
      <c r="J12" s="9"/>
      <c r="K12" s="9">
        <f t="shared" si="0"/>
        <v>0</v>
      </c>
      <c r="M12" s="9">
        <v>0</v>
      </c>
      <c r="N12" s="9">
        <f t="shared" si="2"/>
        <v>0</v>
      </c>
      <c r="O12" s="9"/>
      <c r="P12" s="9"/>
      <c r="Q12" s="9"/>
      <c r="U12" s="5"/>
      <c r="V12" s="34"/>
    </row>
    <row r="13" spans="1:22" ht="18.600000000000001" thickBot="1" x14ac:dyDescent="0.4">
      <c r="A13" s="2">
        <f t="shared" si="3"/>
        <v>44926</v>
      </c>
      <c r="B13" s="9">
        <f t="shared" si="1"/>
        <v>0</v>
      </c>
      <c r="C13" s="9"/>
      <c r="D13" s="9"/>
      <c r="E13" s="9"/>
      <c r="F13" s="9"/>
      <c r="G13" s="9"/>
      <c r="H13" s="9"/>
      <c r="I13" s="9"/>
      <c r="J13" s="9"/>
      <c r="K13" s="9">
        <f t="shared" si="0"/>
        <v>0</v>
      </c>
      <c r="M13" s="9">
        <v>0</v>
      </c>
      <c r="N13" s="9">
        <f t="shared" si="2"/>
        <v>0</v>
      </c>
      <c r="O13" s="9"/>
      <c r="P13" s="9"/>
      <c r="Q13" s="9"/>
      <c r="S13" s="18">
        <f>SUM(S8:S12)</f>
        <v>0.98</v>
      </c>
      <c r="U13" s="5"/>
      <c r="V13" s="34"/>
    </row>
    <row r="14" spans="1:22" ht="18.600000000000001" thickTop="1" x14ac:dyDescent="0.35">
      <c r="A14" s="2">
        <f t="shared" si="3"/>
        <v>44957</v>
      </c>
      <c r="B14" s="9">
        <f t="shared" si="1"/>
        <v>0</v>
      </c>
      <c r="C14" s="9"/>
      <c r="D14" s="9"/>
      <c r="E14" s="9"/>
      <c r="F14" s="9"/>
      <c r="G14" s="9"/>
      <c r="H14" s="9"/>
      <c r="I14" s="9"/>
      <c r="J14" s="9"/>
      <c r="K14" s="9">
        <f t="shared" si="0"/>
        <v>0</v>
      </c>
      <c r="M14" s="9">
        <v>0</v>
      </c>
      <c r="N14" s="9">
        <f t="shared" si="2"/>
        <v>0</v>
      </c>
      <c r="O14" s="9"/>
      <c r="P14" s="9"/>
      <c r="Q14" s="9"/>
      <c r="U14" s="5"/>
      <c r="V14" s="34"/>
    </row>
    <row r="15" spans="1:22" ht="18" x14ac:dyDescent="0.35">
      <c r="A15" s="2">
        <f>+A14+28</f>
        <v>44985</v>
      </c>
      <c r="B15" s="9">
        <f t="shared" si="1"/>
        <v>0</v>
      </c>
      <c r="C15" s="9">
        <v>1165766.6599999999</v>
      </c>
      <c r="D15" s="9">
        <v>-637925.92000000004</v>
      </c>
      <c r="E15" s="9"/>
      <c r="F15" s="9"/>
      <c r="G15" s="9">
        <v>-2273.11</v>
      </c>
      <c r="H15" s="9"/>
      <c r="I15" s="9"/>
      <c r="J15" s="9"/>
      <c r="K15" s="9">
        <f t="shared" si="0"/>
        <v>525567.62999999989</v>
      </c>
      <c r="M15" s="9">
        <v>-702976.29</v>
      </c>
      <c r="N15" s="9">
        <f t="shared" si="2"/>
        <v>1228543.92</v>
      </c>
      <c r="O15" s="9"/>
      <c r="P15" s="9"/>
      <c r="Q15" s="9"/>
      <c r="S15" s="9">
        <f>+S13-N19</f>
        <v>1.0593792509894229E-10</v>
      </c>
      <c r="U15" s="5"/>
      <c r="V15" s="34"/>
    </row>
    <row r="16" spans="1:22" ht="18" x14ac:dyDescent="0.35">
      <c r="A16" s="2">
        <f t="shared" si="3"/>
        <v>45016</v>
      </c>
      <c r="B16" s="9">
        <f t="shared" si="1"/>
        <v>525567.62999999989</v>
      </c>
      <c r="C16" s="9">
        <v>0</v>
      </c>
      <c r="D16" s="9">
        <v>-363769.82</v>
      </c>
      <c r="E16" s="9">
        <v>266.26</v>
      </c>
      <c r="F16" s="9"/>
      <c r="G16" s="9">
        <v>-2183.63</v>
      </c>
      <c r="H16" s="9"/>
      <c r="I16" s="9"/>
      <c r="J16" s="9"/>
      <c r="K16" s="9">
        <f t="shared" si="0"/>
        <v>159880.43999999989</v>
      </c>
      <c r="M16" s="9">
        <f>+M15-297012.07</f>
        <v>-999988.3600000001</v>
      </c>
      <c r="N16" s="9">
        <f t="shared" si="2"/>
        <v>1159868.8</v>
      </c>
      <c r="O16" s="9"/>
      <c r="P16" s="9"/>
      <c r="Q16" s="9"/>
      <c r="U16" s="5"/>
      <c r="V16" s="34"/>
    </row>
    <row r="17" spans="1:24" ht="18" x14ac:dyDescent="0.35">
      <c r="A17" s="2">
        <f>+A16+30</f>
        <v>45046</v>
      </c>
      <c r="B17" s="9">
        <f t="shared" si="1"/>
        <v>159880.43999999989</v>
      </c>
      <c r="C17" s="9">
        <v>188711.94</v>
      </c>
      <c r="D17" s="9">
        <v>-165633.5</v>
      </c>
      <c r="E17" s="9"/>
      <c r="F17" s="9">
        <v>2525.77</v>
      </c>
      <c r="G17" s="9">
        <v>-3041.08</v>
      </c>
      <c r="H17" s="9"/>
      <c r="I17" s="9"/>
      <c r="J17" s="9"/>
      <c r="K17" s="9">
        <f t="shared" si="0"/>
        <v>182443.56999999989</v>
      </c>
      <c r="M17" s="9">
        <f>+M16-165706.32</f>
        <v>-1165694.6800000002</v>
      </c>
      <c r="N17" s="9">
        <f t="shared" si="2"/>
        <v>1348138.25</v>
      </c>
      <c r="O17" s="9"/>
      <c r="P17" s="9"/>
      <c r="Q17" s="9"/>
      <c r="U17" s="5"/>
      <c r="V17" s="34"/>
    </row>
    <row r="18" spans="1:24" ht="18" x14ac:dyDescent="0.35">
      <c r="A18" s="2">
        <f t="shared" si="3"/>
        <v>45077</v>
      </c>
      <c r="B18" s="9">
        <f t="shared" si="1"/>
        <v>182443.56999999989</v>
      </c>
      <c r="C18" s="9">
        <v>97576.68</v>
      </c>
      <c r="D18" s="9">
        <v>-93885.34</v>
      </c>
      <c r="E18" s="25"/>
      <c r="F18" s="25">
        <v>3249.14</v>
      </c>
      <c r="G18" s="25">
        <v>-4098.16</v>
      </c>
      <c r="H18" s="9"/>
      <c r="I18" s="9">
        <v>6.76</v>
      </c>
      <c r="J18" s="9"/>
      <c r="K18" s="9">
        <f t="shared" si="0"/>
        <v>185292.64999999991</v>
      </c>
      <c r="M18" s="9">
        <f>+M17-89479.71</f>
        <v>-1255174.3900000001</v>
      </c>
      <c r="N18" s="9">
        <f t="shared" si="2"/>
        <v>1440467.04</v>
      </c>
      <c r="O18" s="9"/>
      <c r="P18" s="9"/>
      <c r="Q18" s="9"/>
      <c r="V18" s="35"/>
    </row>
    <row r="19" spans="1:24" ht="18" x14ac:dyDescent="0.35">
      <c r="A19" s="2">
        <f>+A18+30</f>
        <v>45107</v>
      </c>
      <c r="B19" s="9">
        <f t="shared" si="1"/>
        <v>185292.64999999991</v>
      </c>
      <c r="C19" s="9">
        <v>0</v>
      </c>
      <c r="D19" s="9">
        <v>-101721.49</v>
      </c>
      <c r="E19" s="9"/>
      <c r="F19" s="9"/>
      <c r="G19" s="9">
        <v>-1669.41</v>
      </c>
      <c r="H19" s="9"/>
      <c r="I19" s="9"/>
      <c r="J19" s="9"/>
      <c r="K19" s="9">
        <f t="shared" si="0"/>
        <v>81901.749999999898</v>
      </c>
      <c r="M19" s="9">
        <v>81900.77</v>
      </c>
      <c r="N19" s="15">
        <f>+K19-M19</f>
        <v>0.97999999989406206</v>
      </c>
      <c r="O19" s="9"/>
      <c r="P19" s="9"/>
      <c r="Q19" s="9"/>
      <c r="R19" s="5"/>
      <c r="V19" s="36"/>
    </row>
    <row r="20" spans="1:24" ht="18" x14ac:dyDescent="0.35">
      <c r="P20" s="9"/>
      <c r="Q20" s="9"/>
      <c r="V20" s="36"/>
    </row>
    <row r="21" spans="1:24" ht="18.600000000000001" thickBot="1" x14ac:dyDescent="0.4">
      <c r="A21" t="s">
        <v>16</v>
      </c>
      <c r="B21" s="9"/>
      <c r="C21" s="18">
        <f>SUM(C8:C19)</f>
        <v>1452055.2799999998</v>
      </c>
      <c r="D21" s="18">
        <f t="shared" ref="D21:H21" si="4">SUM(D8:D19)</f>
        <v>-1362936.07</v>
      </c>
      <c r="E21" s="18">
        <f t="shared" si="4"/>
        <v>266.26</v>
      </c>
      <c r="F21" s="18">
        <f t="shared" si="4"/>
        <v>5774.91</v>
      </c>
      <c r="G21" s="18">
        <f t="shared" si="4"/>
        <v>-13265.39</v>
      </c>
      <c r="H21" s="18">
        <f t="shared" si="4"/>
        <v>0</v>
      </c>
      <c r="I21" s="18">
        <f>SUM(I8:I19)</f>
        <v>6.76</v>
      </c>
      <c r="J21" s="18">
        <f t="shared" ref="J21" si="5">SUM(J8:J19)</f>
        <v>0</v>
      </c>
      <c r="K21" s="18">
        <f>+K19</f>
        <v>81901.749999999898</v>
      </c>
      <c r="M21" s="50"/>
      <c r="N21" s="9"/>
      <c r="O21" s="9"/>
      <c r="P21" s="9"/>
      <c r="Q21" s="9"/>
      <c r="R21" s="5"/>
      <c r="V21" s="36"/>
    </row>
    <row r="22" spans="1:24" ht="18.600000000000001" thickTop="1" x14ac:dyDescent="0.35">
      <c r="A22" s="1"/>
      <c r="D22" s="20"/>
      <c r="R22" s="5"/>
      <c r="V22" s="36"/>
    </row>
    <row r="23" spans="1:24" ht="18" x14ac:dyDescent="0.35">
      <c r="A23" s="23">
        <v>2022</v>
      </c>
      <c r="D23" s="45"/>
      <c r="P23" s="9"/>
      <c r="Q23" s="9"/>
      <c r="V23" s="36"/>
    </row>
    <row r="24" spans="1:24" ht="18" x14ac:dyDescent="0.35">
      <c r="A24" s="32" t="s">
        <v>44</v>
      </c>
      <c r="M24" s="44" t="s">
        <v>47</v>
      </c>
      <c r="P24" s="13"/>
      <c r="Q24" s="9"/>
      <c r="V24" s="36"/>
    </row>
    <row r="25" spans="1:24" s="21" customFormat="1" ht="18" x14ac:dyDescent="0.35">
      <c r="C25" s="47" t="s">
        <v>19</v>
      </c>
      <c r="D25" s="47" t="s">
        <v>20</v>
      </c>
      <c r="E25" s="47" t="s">
        <v>19</v>
      </c>
      <c r="F25" s="47" t="s">
        <v>19</v>
      </c>
      <c r="G25" s="47" t="s">
        <v>20</v>
      </c>
      <c r="H25" s="47" t="s">
        <v>20</v>
      </c>
      <c r="I25" s="47" t="s">
        <v>21</v>
      </c>
      <c r="J25" s="47" t="s">
        <v>20</v>
      </c>
      <c r="K25" s="47" t="s">
        <v>10</v>
      </c>
      <c r="L25" s="47"/>
      <c r="M25" s="47" t="s">
        <v>9</v>
      </c>
      <c r="P25" s="13"/>
      <c r="Q25" s="9"/>
      <c r="R25"/>
      <c r="S25" s="9"/>
      <c r="T25"/>
      <c r="U25"/>
      <c r="V25" s="36"/>
      <c r="W25"/>
      <c r="X25"/>
    </row>
    <row r="26" spans="1:24" ht="18" x14ac:dyDescent="0.35">
      <c r="B26" s="4" t="s">
        <v>1</v>
      </c>
      <c r="C26" s="48" t="s">
        <v>2</v>
      </c>
      <c r="D26" s="48" t="s">
        <v>3</v>
      </c>
      <c r="E26" s="48" t="s">
        <v>12</v>
      </c>
      <c r="F26" s="48" t="s">
        <v>4</v>
      </c>
      <c r="G26" s="48" t="s">
        <v>5</v>
      </c>
      <c r="H26" s="48" t="s">
        <v>13</v>
      </c>
      <c r="I26" s="48" t="s">
        <v>6</v>
      </c>
      <c r="J26" s="48" t="s">
        <v>7</v>
      </c>
      <c r="K26" s="48" t="s">
        <v>8</v>
      </c>
      <c r="M26" s="49" t="s">
        <v>8</v>
      </c>
      <c r="N26" s="6" t="s">
        <v>14</v>
      </c>
      <c r="O26" s="3"/>
      <c r="P26" s="13"/>
      <c r="Q26" s="9"/>
      <c r="V26" s="36"/>
    </row>
    <row r="27" spans="1:24" ht="18" x14ac:dyDescent="0.35">
      <c r="A27" s="2">
        <v>44773</v>
      </c>
      <c r="B27" s="9">
        <v>134772.58000000002</v>
      </c>
      <c r="C27" s="9">
        <v>62128.6</v>
      </c>
      <c r="D27" s="9">
        <v>-21073.919999999998</v>
      </c>
      <c r="E27" s="9"/>
      <c r="F27" s="9">
        <v>6500.83</v>
      </c>
      <c r="G27" s="9">
        <v>-2400.88</v>
      </c>
      <c r="H27" s="9"/>
      <c r="I27" s="9"/>
      <c r="J27" s="9"/>
      <c r="K27" s="9">
        <f>SUM(B27:J27)</f>
        <v>179927.21</v>
      </c>
      <c r="M27" s="9">
        <v>247738.06</v>
      </c>
      <c r="N27" s="9">
        <f>+K27-M27</f>
        <v>-67810.850000000006</v>
      </c>
      <c r="O27" s="9"/>
      <c r="P27" s="13"/>
      <c r="Q27" s="9"/>
      <c r="V27" s="36"/>
    </row>
    <row r="28" spans="1:24" ht="18" x14ac:dyDescent="0.35">
      <c r="A28" s="2">
        <f>+A27+31</f>
        <v>44804</v>
      </c>
      <c r="B28" s="9">
        <f>+K27</f>
        <v>179927.21</v>
      </c>
      <c r="C28" s="9"/>
      <c r="D28" s="9">
        <v>-66986.62</v>
      </c>
      <c r="E28" s="9"/>
      <c r="F28" s="9"/>
      <c r="G28" s="9">
        <v>-2095.16</v>
      </c>
      <c r="H28" s="9"/>
      <c r="I28" s="9"/>
      <c r="J28" s="9"/>
      <c r="K28" s="9">
        <f t="shared" ref="K28:K38" si="6">SUM(B28:J28)</f>
        <v>110845.43</v>
      </c>
      <c r="M28" s="9">
        <f>+M27</f>
        <v>247738.06</v>
      </c>
      <c r="N28" s="9">
        <f>+K28-M28</f>
        <v>-136892.63</v>
      </c>
      <c r="O28" s="9"/>
      <c r="P28" s="13"/>
      <c r="Q28" s="9"/>
      <c r="V28" s="36"/>
    </row>
    <row r="29" spans="1:24" ht="18" x14ac:dyDescent="0.35">
      <c r="A29" s="2">
        <f>+A28+30</f>
        <v>44834</v>
      </c>
      <c r="B29" s="9">
        <f t="shared" ref="B29:B38" si="7">+K28</f>
        <v>110845.43</v>
      </c>
      <c r="C29" s="9"/>
      <c r="D29" s="9">
        <v>-23997.19</v>
      </c>
      <c r="E29" s="9"/>
      <c r="F29" s="9">
        <v>2394.0500000000002</v>
      </c>
      <c r="G29" s="9">
        <v>-6221.66</v>
      </c>
      <c r="H29" s="9"/>
      <c r="I29" s="9"/>
      <c r="J29" s="9"/>
      <c r="K29" s="9">
        <f t="shared" si="6"/>
        <v>83020.62999999999</v>
      </c>
      <c r="M29" s="9">
        <f>+M28</f>
        <v>247738.06</v>
      </c>
      <c r="N29" s="9">
        <f t="shared" ref="N29:N37" si="8">+K29-M29</f>
        <v>-164717.43</v>
      </c>
      <c r="O29" s="9"/>
      <c r="P29" s="13"/>
      <c r="Q29" s="9"/>
      <c r="V29" s="36"/>
    </row>
    <row r="30" spans="1:24" ht="18" x14ac:dyDescent="0.35">
      <c r="A30" s="2">
        <f t="shared" ref="A30:A37" si="9">+A29+31</f>
        <v>44865</v>
      </c>
      <c r="B30" s="9">
        <f t="shared" si="7"/>
        <v>83020.62999999999</v>
      </c>
      <c r="C30" s="9">
        <v>46539.85</v>
      </c>
      <c r="D30" s="9">
        <v>-24948.31</v>
      </c>
      <c r="E30" s="9"/>
      <c r="F30" s="9"/>
      <c r="G30" s="9">
        <v>-2570.9299999999998</v>
      </c>
      <c r="H30" s="9"/>
      <c r="I30" s="9"/>
      <c r="J30" s="9"/>
      <c r="K30" s="9">
        <f t="shared" si="6"/>
        <v>102041.23999999999</v>
      </c>
      <c r="M30" s="9">
        <f>+M29</f>
        <v>247738.06</v>
      </c>
      <c r="N30" s="9">
        <f t="shared" si="8"/>
        <v>-145696.82</v>
      </c>
      <c r="O30" s="9"/>
      <c r="P30" s="13"/>
      <c r="Q30" s="9"/>
      <c r="V30" s="36"/>
    </row>
    <row r="31" spans="1:24" ht="18" x14ac:dyDescent="0.35">
      <c r="A31" s="2">
        <f>+A30+30</f>
        <v>44895</v>
      </c>
      <c r="B31" s="9">
        <f t="shared" si="7"/>
        <v>102041.23999999999</v>
      </c>
      <c r="C31" s="9"/>
      <c r="D31" s="9">
        <v>-30674.85</v>
      </c>
      <c r="E31" s="9"/>
      <c r="F31" s="9">
        <v>10600.96</v>
      </c>
      <c r="G31" s="9">
        <v>-1186.3800000000001</v>
      </c>
      <c r="H31" s="9"/>
      <c r="I31" s="9"/>
      <c r="J31" s="9"/>
      <c r="K31" s="9">
        <f t="shared" si="6"/>
        <v>80780.969999999972</v>
      </c>
      <c r="M31" s="9">
        <f>+M30-28898.55</f>
        <v>218839.51</v>
      </c>
      <c r="N31" s="9">
        <f t="shared" si="8"/>
        <v>-138058.54000000004</v>
      </c>
      <c r="O31" s="9"/>
      <c r="P31" s="13"/>
      <c r="Q31" s="9"/>
      <c r="V31" s="36"/>
    </row>
    <row r="32" spans="1:24" ht="18" x14ac:dyDescent="0.35">
      <c r="A32" s="2">
        <f t="shared" si="9"/>
        <v>44926</v>
      </c>
      <c r="B32" s="9">
        <f t="shared" si="7"/>
        <v>80780.969999999972</v>
      </c>
      <c r="C32" s="9">
        <v>32068.87</v>
      </c>
      <c r="D32" s="9">
        <v>-25755.4</v>
      </c>
      <c r="E32" s="9"/>
      <c r="F32" s="9"/>
      <c r="G32" s="9">
        <v>-1289.46</v>
      </c>
      <c r="H32" s="9"/>
      <c r="I32" s="9"/>
      <c r="J32" s="9"/>
      <c r="K32" s="9">
        <f t="shared" si="6"/>
        <v>85804.979999999967</v>
      </c>
      <c r="M32" s="9">
        <f>+M31-28722.14</f>
        <v>190117.37</v>
      </c>
      <c r="N32" s="9">
        <f t="shared" si="8"/>
        <v>-104312.39000000003</v>
      </c>
      <c r="O32" s="9"/>
      <c r="P32" s="13"/>
      <c r="Q32" s="9"/>
      <c r="V32" s="36"/>
    </row>
    <row r="33" spans="1:22" ht="18" x14ac:dyDescent="0.35">
      <c r="A33" s="2">
        <f t="shared" si="9"/>
        <v>44957</v>
      </c>
      <c r="B33" s="9">
        <f t="shared" si="7"/>
        <v>85804.979999999967</v>
      </c>
      <c r="C33" s="9"/>
      <c r="D33" s="9">
        <v>-11258.37</v>
      </c>
      <c r="E33" s="9"/>
      <c r="F33" s="9">
        <v>3699.88</v>
      </c>
      <c r="G33" s="9"/>
      <c r="H33" s="9"/>
      <c r="I33" s="9"/>
      <c r="J33" s="9"/>
      <c r="K33" s="9">
        <f t="shared" si="6"/>
        <v>78246.489999999976</v>
      </c>
      <c r="M33" s="9">
        <f>+M32-9615.72</f>
        <v>180501.65</v>
      </c>
      <c r="N33" s="9">
        <f t="shared" si="8"/>
        <v>-102255.16000000002</v>
      </c>
      <c r="O33" s="9"/>
      <c r="P33" s="13"/>
      <c r="Q33" s="9"/>
      <c r="V33" s="36"/>
    </row>
    <row r="34" spans="1:22" ht="18" x14ac:dyDescent="0.35">
      <c r="A34" s="2">
        <f>+A33+28</f>
        <v>44985</v>
      </c>
      <c r="B34" s="9">
        <f t="shared" si="7"/>
        <v>78246.489999999976</v>
      </c>
      <c r="C34" s="9">
        <v>9509.74</v>
      </c>
      <c r="D34" s="9">
        <v>-17726.64</v>
      </c>
      <c r="E34" s="9"/>
      <c r="F34" s="9"/>
      <c r="G34" s="9">
        <v>-786.9</v>
      </c>
      <c r="H34" s="9"/>
      <c r="I34" s="9">
        <v>-5.66</v>
      </c>
      <c r="J34" s="9"/>
      <c r="K34" s="9">
        <f t="shared" si="6"/>
        <v>69237.029999999984</v>
      </c>
      <c r="M34" s="9">
        <f>+M33+-13771.41</f>
        <v>166730.23999999999</v>
      </c>
      <c r="N34" s="9">
        <f t="shared" si="8"/>
        <v>-97493.21</v>
      </c>
      <c r="O34" s="9"/>
      <c r="P34" s="13"/>
      <c r="Q34" s="9"/>
      <c r="V34" s="36"/>
    </row>
    <row r="35" spans="1:22" ht="18" x14ac:dyDescent="0.35">
      <c r="A35" s="2">
        <f t="shared" si="9"/>
        <v>45016</v>
      </c>
      <c r="B35" s="9">
        <f t="shared" si="7"/>
        <v>69237.029999999984</v>
      </c>
      <c r="C35" s="9"/>
      <c r="D35" s="9">
        <v>-23457.66</v>
      </c>
      <c r="E35" s="9">
        <v>154.80000000000001</v>
      </c>
      <c r="F35" s="9"/>
      <c r="G35" s="9">
        <v>-193.28</v>
      </c>
      <c r="H35" s="9"/>
      <c r="I35" s="9"/>
      <c r="J35" s="9"/>
      <c r="K35" s="9">
        <f t="shared" si="6"/>
        <v>45740.889999999985</v>
      </c>
      <c r="M35" s="9">
        <f>+M34-13288.64</f>
        <v>153441.59999999998</v>
      </c>
      <c r="N35" s="9">
        <f t="shared" si="8"/>
        <v>-107700.70999999999</v>
      </c>
      <c r="O35" s="9"/>
      <c r="P35" s="13"/>
      <c r="Q35" s="9"/>
      <c r="V35" s="36"/>
    </row>
    <row r="36" spans="1:22" ht="18" x14ac:dyDescent="0.35">
      <c r="A36" s="2">
        <f>+A35+30</f>
        <v>45046</v>
      </c>
      <c r="B36" s="9">
        <f t="shared" si="7"/>
        <v>45740.889999999985</v>
      </c>
      <c r="C36" s="9"/>
      <c r="D36" s="9">
        <v>-5140.43</v>
      </c>
      <c r="E36" s="9"/>
      <c r="F36" s="9">
        <v>980.18</v>
      </c>
      <c r="G36" s="9">
        <v>-222.29</v>
      </c>
      <c r="H36" s="9"/>
      <c r="I36" s="9"/>
      <c r="J36" s="9"/>
      <c r="K36" s="9">
        <f>SUM(B36:J36)</f>
        <v>41358.349999999984</v>
      </c>
      <c r="M36" s="9">
        <f>+M35-9297.93</f>
        <v>144143.66999999998</v>
      </c>
      <c r="N36" s="9">
        <f t="shared" si="8"/>
        <v>-102785.32</v>
      </c>
      <c r="O36" s="9"/>
      <c r="P36" s="13"/>
      <c r="Q36" s="9"/>
      <c r="V36" s="36"/>
    </row>
    <row r="37" spans="1:22" ht="18" x14ac:dyDescent="0.35">
      <c r="A37" s="2">
        <f t="shared" si="9"/>
        <v>45077</v>
      </c>
      <c r="B37" s="9">
        <f t="shared" si="7"/>
        <v>41358.349999999984</v>
      </c>
      <c r="C37" s="9"/>
      <c r="D37" s="9">
        <v>-4620.41</v>
      </c>
      <c r="E37" s="9"/>
      <c r="F37" s="9">
        <v>134.87</v>
      </c>
      <c r="G37" s="9">
        <v>-453.87</v>
      </c>
      <c r="H37" s="9"/>
      <c r="I37" s="9">
        <v>1.53</v>
      </c>
      <c r="J37" s="9"/>
      <c r="K37" s="9">
        <f t="shared" si="6"/>
        <v>36420.469999999987</v>
      </c>
      <c r="M37" s="9">
        <f>+M36-5057.13</f>
        <v>139086.53999999998</v>
      </c>
      <c r="N37" s="9">
        <f t="shared" si="8"/>
        <v>-102666.06999999999</v>
      </c>
      <c r="O37" s="9"/>
      <c r="P37" s="13"/>
      <c r="Q37" s="9"/>
      <c r="V37" s="36"/>
    </row>
    <row r="38" spans="1:22" ht="18" x14ac:dyDescent="0.35">
      <c r="A38" s="2">
        <f>+A37+30</f>
        <v>45107</v>
      </c>
      <c r="B38" s="9">
        <f t="shared" si="7"/>
        <v>36420.469999999987</v>
      </c>
      <c r="C38" s="9"/>
      <c r="D38" s="9">
        <v>-1129.75</v>
      </c>
      <c r="E38" s="9"/>
      <c r="F38" s="9"/>
      <c r="G38" s="9"/>
      <c r="H38" s="9"/>
      <c r="I38" s="9"/>
      <c r="J38" s="9"/>
      <c r="K38" s="9">
        <f t="shared" si="6"/>
        <v>35290.719999999987</v>
      </c>
      <c r="M38" s="9">
        <v>35290.720000000001</v>
      </c>
      <c r="N38" s="15">
        <f>+K38-M38</f>
        <v>0</v>
      </c>
      <c r="O38" s="9"/>
      <c r="P38" s="13"/>
      <c r="Q38" s="9"/>
      <c r="V38" s="36"/>
    </row>
    <row r="39" spans="1:22" ht="18" x14ac:dyDescent="0.35">
      <c r="P39" s="13"/>
      <c r="Q39" s="9"/>
      <c r="V39" s="36"/>
    </row>
    <row r="40" spans="1:22" ht="18.600000000000001" thickBot="1" x14ac:dyDescent="0.4">
      <c r="A40" t="s">
        <v>16</v>
      </c>
      <c r="B40" s="9"/>
      <c r="C40" s="18">
        <f>SUM(C27:C38)</f>
        <v>150247.06</v>
      </c>
      <c r="D40" s="18">
        <f t="shared" ref="D40:H40" si="10">SUM(D27:D38)</f>
        <v>-256769.55</v>
      </c>
      <c r="E40" s="18">
        <f t="shared" si="10"/>
        <v>154.80000000000001</v>
      </c>
      <c r="F40" s="18">
        <f t="shared" si="10"/>
        <v>24310.77</v>
      </c>
      <c r="G40" s="18">
        <f t="shared" si="10"/>
        <v>-17420.810000000001</v>
      </c>
      <c r="H40" s="18">
        <f t="shared" si="10"/>
        <v>0</v>
      </c>
      <c r="I40" s="18">
        <f>SUM(I27:I38)</f>
        <v>-4.13</v>
      </c>
      <c r="J40" s="18">
        <f t="shared" ref="J40" si="11">SUM(J27:J38)</f>
        <v>0</v>
      </c>
      <c r="K40" s="18">
        <f>+K38</f>
        <v>35290.719999999987</v>
      </c>
      <c r="M40" s="50"/>
      <c r="N40" s="9"/>
      <c r="O40" s="9"/>
      <c r="P40" s="13"/>
      <c r="Q40" s="9"/>
      <c r="V40" s="35"/>
    </row>
    <row r="41" spans="1:22" ht="18.600000000000001" thickTop="1" x14ac:dyDescent="0.35">
      <c r="A41" s="1"/>
      <c r="P41" s="13"/>
      <c r="Q41" s="9"/>
      <c r="V41" s="35"/>
    </row>
    <row r="42" spans="1:22" ht="18" x14ac:dyDescent="0.35">
      <c r="A42" s="23">
        <v>2021</v>
      </c>
      <c r="P42" s="13"/>
      <c r="Q42" s="9"/>
      <c r="V42" s="35"/>
    </row>
    <row r="43" spans="1:22" x14ac:dyDescent="0.3">
      <c r="A43" s="32" t="s">
        <v>40</v>
      </c>
      <c r="M43" s="44" t="s">
        <v>43</v>
      </c>
      <c r="P43" s="13"/>
      <c r="Q43" s="9"/>
    </row>
    <row r="44" spans="1:22" x14ac:dyDescent="0.3">
      <c r="C44" s="51" t="s">
        <v>19</v>
      </c>
      <c r="D44" s="51" t="s">
        <v>20</v>
      </c>
      <c r="E44" s="51" t="s">
        <v>19</v>
      </c>
      <c r="F44" s="51" t="s">
        <v>19</v>
      </c>
      <c r="G44" s="51" t="s">
        <v>20</v>
      </c>
      <c r="H44" s="51" t="s">
        <v>20</v>
      </c>
      <c r="I44" s="51" t="s">
        <v>21</v>
      </c>
      <c r="J44" s="51" t="s">
        <v>20</v>
      </c>
      <c r="K44" s="52" t="s">
        <v>10</v>
      </c>
      <c r="L44" s="52"/>
      <c r="M44" s="52" t="s">
        <v>9</v>
      </c>
      <c r="N44">
        <v>-1290.98</v>
      </c>
      <c r="P44" s="13"/>
      <c r="Q44" s="9"/>
    </row>
    <row r="45" spans="1:22" x14ac:dyDescent="0.3">
      <c r="B45" s="4" t="s">
        <v>1</v>
      </c>
      <c r="C45" s="49" t="s">
        <v>2</v>
      </c>
      <c r="D45" s="49" t="s">
        <v>3</v>
      </c>
      <c r="E45" s="49" t="s">
        <v>12</v>
      </c>
      <c r="F45" s="49" t="s">
        <v>4</v>
      </c>
      <c r="G45" s="49" t="s">
        <v>5</v>
      </c>
      <c r="H45" s="49" t="s">
        <v>13</v>
      </c>
      <c r="I45" s="49" t="s">
        <v>6</v>
      </c>
      <c r="J45" s="49" t="s">
        <v>7</v>
      </c>
      <c r="K45" s="49" t="s">
        <v>8</v>
      </c>
      <c r="L45" s="52"/>
      <c r="M45" s="49" t="s">
        <v>8</v>
      </c>
      <c r="N45" s="6" t="s">
        <v>14</v>
      </c>
      <c r="P45" s="13"/>
      <c r="Q45" s="9"/>
    </row>
    <row r="46" spans="1:22" x14ac:dyDescent="0.3">
      <c r="A46" s="2">
        <v>44773</v>
      </c>
      <c r="B46" s="9">
        <v>57921.2</v>
      </c>
      <c r="C46" s="9"/>
      <c r="D46" s="9">
        <v>-1708.74</v>
      </c>
      <c r="E46" s="9"/>
      <c r="F46" s="9">
        <v>510.11</v>
      </c>
      <c r="G46" s="9">
        <v>-510.11</v>
      </c>
      <c r="H46" s="9"/>
      <c r="I46" s="9"/>
      <c r="J46" s="9"/>
      <c r="K46" s="9">
        <f>SUM(B46:J46)</f>
        <v>56212.46</v>
      </c>
      <c r="M46" s="9">
        <f>41439.46+15280.17</f>
        <v>56719.63</v>
      </c>
      <c r="N46" s="3">
        <f t="shared" ref="N46:N57" si="12">+K46-M46</f>
        <v>-507.16999999999825</v>
      </c>
      <c r="O46" s="5"/>
      <c r="P46" s="13"/>
      <c r="Q46" s="9"/>
    </row>
    <row r="47" spans="1:22" x14ac:dyDescent="0.3">
      <c r="A47" s="2">
        <f>+A46+31</f>
        <v>44804</v>
      </c>
      <c r="B47" s="9">
        <f>+K46</f>
        <v>56212.46</v>
      </c>
      <c r="C47" s="9"/>
      <c r="D47" s="9">
        <v>-3325.24</v>
      </c>
      <c r="E47" s="9"/>
      <c r="F47" s="9"/>
      <c r="G47" s="9"/>
      <c r="H47" s="9"/>
      <c r="I47" s="9"/>
      <c r="J47" s="9"/>
      <c r="K47" s="9">
        <f t="shared" ref="K47:K56" si="13">SUM(B47:J47)</f>
        <v>52887.22</v>
      </c>
      <c r="M47" s="9">
        <f>+M46-68310.86</f>
        <v>-11591.230000000003</v>
      </c>
      <c r="N47" s="9">
        <f t="shared" si="12"/>
        <v>64478.450000000004</v>
      </c>
      <c r="O47" s="5"/>
      <c r="P47" s="13"/>
      <c r="Q47" s="9"/>
    </row>
    <row r="48" spans="1:22" x14ac:dyDescent="0.3">
      <c r="A48" s="2">
        <f>+A47+30</f>
        <v>44834</v>
      </c>
      <c r="B48" s="9">
        <f t="shared" ref="B48:B57" si="14">+K47</f>
        <v>52887.22</v>
      </c>
      <c r="C48" s="9"/>
      <c r="D48" s="9">
        <v>-2841.03</v>
      </c>
      <c r="E48" s="9"/>
      <c r="F48" s="9"/>
      <c r="G48" s="9">
        <v>-405.52</v>
      </c>
      <c r="H48" s="9"/>
      <c r="I48" s="9"/>
      <c r="J48" s="9"/>
      <c r="K48" s="9">
        <f t="shared" si="13"/>
        <v>49640.670000000006</v>
      </c>
      <c r="M48" s="9">
        <f>+M47-112215.71</f>
        <v>-123806.94</v>
      </c>
      <c r="N48" s="9">
        <f t="shared" si="12"/>
        <v>173447.61000000002</v>
      </c>
      <c r="O48" s="5"/>
      <c r="P48" s="13"/>
      <c r="Q48" s="9"/>
    </row>
    <row r="49" spans="1:23" x14ac:dyDescent="0.3">
      <c r="A49" s="2">
        <f t="shared" ref="A49:A56" si="15">+A48+31</f>
        <v>44865</v>
      </c>
      <c r="B49" s="9">
        <f t="shared" si="14"/>
        <v>49640.670000000006</v>
      </c>
      <c r="C49" s="9"/>
      <c r="D49" s="9">
        <v>-700.02</v>
      </c>
      <c r="E49" s="9"/>
      <c r="F49" s="9"/>
      <c r="G49" s="9"/>
      <c r="H49" s="9"/>
      <c r="I49" s="9"/>
      <c r="J49" s="9"/>
      <c r="K49" s="9">
        <f t="shared" si="13"/>
        <v>48940.650000000009</v>
      </c>
      <c r="M49" s="9">
        <f>+M48-49254.16</f>
        <v>-173061.1</v>
      </c>
      <c r="N49" s="9">
        <f t="shared" si="12"/>
        <v>222001.75</v>
      </c>
      <c r="O49" s="5"/>
      <c r="P49" s="13"/>
      <c r="Q49" s="9"/>
    </row>
    <row r="50" spans="1:23" x14ac:dyDescent="0.3">
      <c r="A50" s="2">
        <f>+A49+30</f>
        <v>44895</v>
      </c>
      <c r="B50" s="9">
        <f t="shared" si="14"/>
        <v>48940.650000000009</v>
      </c>
      <c r="C50" s="9"/>
      <c r="D50" s="9">
        <v>-495</v>
      </c>
      <c r="E50" s="9"/>
      <c r="F50" s="9">
        <v>405.52</v>
      </c>
      <c r="G50" s="9"/>
      <c r="H50" s="9"/>
      <c r="I50" s="9"/>
      <c r="J50" s="9"/>
      <c r="K50" s="9">
        <f t="shared" si="13"/>
        <v>48851.170000000006</v>
      </c>
      <c r="M50" s="9">
        <f>+M49+11006.48</f>
        <v>-162054.62</v>
      </c>
      <c r="N50" s="9">
        <f t="shared" si="12"/>
        <v>210905.79</v>
      </c>
      <c r="O50" s="5"/>
      <c r="P50" s="13"/>
      <c r="Q50" s="9"/>
    </row>
    <row r="51" spans="1:23" x14ac:dyDescent="0.3">
      <c r="A51" s="2">
        <f t="shared" si="15"/>
        <v>44926</v>
      </c>
      <c r="B51" s="9">
        <f t="shared" si="14"/>
        <v>48851.170000000006</v>
      </c>
      <c r="C51" s="9"/>
      <c r="D51" s="9">
        <v>-24.62</v>
      </c>
      <c r="E51" s="9"/>
      <c r="F51" s="9"/>
      <c r="G51" s="9"/>
      <c r="H51" s="9"/>
      <c r="I51" s="9"/>
      <c r="J51" s="9"/>
      <c r="K51" s="9">
        <f t="shared" si="13"/>
        <v>48826.55</v>
      </c>
      <c r="M51" s="9">
        <f>+M50-519.62</f>
        <v>-162574.24</v>
      </c>
      <c r="N51" s="9">
        <f t="shared" si="12"/>
        <v>211400.78999999998</v>
      </c>
      <c r="O51" s="5"/>
      <c r="P51" s="13"/>
      <c r="Q51" s="9"/>
      <c r="W51" s="9"/>
    </row>
    <row r="52" spans="1:23" x14ac:dyDescent="0.3">
      <c r="A52" s="2">
        <f t="shared" si="15"/>
        <v>44957</v>
      </c>
      <c r="B52" s="9">
        <f t="shared" si="14"/>
        <v>48826.55</v>
      </c>
      <c r="C52" s="9"/>
      <c r="D52" s="9">
        <v>-292.64999999999998</v>
      </c>
      <c r="E52" s="9"/>
      <c r="F52" s="25"/>
      <c r="G52" s="25"/>
      <c r="H52" s="9"/>
      <c r="I52" s="9"/>
      <c r="J52" s="9"/>
      <c r="K52" s="9">
        <f t="shared" si="13"/>
        <v>48533.9</v>
      </c>
      <c r="M52" s="9">
        <f>+M51</f>
        <v>-162574.24</v>
      </c>
      <c r="N52" s="9">
        <f t="shared" si="12"/>
        <v>211108.13999999998</v>
      </c>
      <c r="O52" s="5"/>
      <c r="P52" s="13"/>
      <c r="Q52" s="9"/>
      <c r="W52" s="9"/>
    </row>
    <row r="53" spans="1:23" x14ac:dyDescent="0.3">
      <c r="A53" s="2">
        <f>+A52+28</f>
        <v>44985</v>
      </c>
      <c r="B53" s="9">
        <f t="shared" si="14"/>
        <v>48533.9</v>
      </c>
      <c r="C53" s="25"/>
      <c r="D53" s="25">
        <v>-7764.28</v>
      </c>
      <c r="E53" s="25"/>
      <c r="F53" s="25"/>
      <c r="G53" s="25">
        <v>-283.95999999999998</v>
      </c>
      <c r="H53" s="25"/>
      <c r="I53" s="25">
        <v>-0.9</v>
      </c>
      <c r="J53" s="25"/>
      <c r="K53" s="25">
        <f t="shared" si="13"/>
        <v>40484.76</v>
      </c>
      <c r="M53" s="9">
        <f>+M52+3407.23</f>
        <v>-159167.00999999998</v>
      </c>
      <c r="N53" s="9">
        <f t="shared" si="12"/>
        <v>199651.77</v>
      </c>
      <c r="O53" s="5"/>
      <c r="P53" s="13"/>
      <c r="Q53" s="9"/>
      <c r="W53" s="9"/>
    </row>
    <row r="54" spans="1:23" x14ac:dyDescent="0.3">
      <c r="A54" s="2">
        <f t="shared" si="15"/>
        <v>45016</v>
      </c>
      <c r="B54" s="9">
        <f>+K53</f>
        <v>40484.76</v>
      </c>
      <c r="C54" s="25"/>
      <c r="D54" s="25">
        <v>-9466.0499999999993</v>
      </c>
      <c r="E54" s="25"/>
      <c r="F54" s="25"/>
      <c r="G54" s="25">
        <v>-64.88</v>
      </c>
      <c r="H54" s="25"/>
      <c r="I54" s="25"/>
      <c r="J54" s="25"/>
      <c r="K54" s="25">
        <f t="shared" si="13"/>
        <v>30953.83</v>
      </c>
      <c r="M54" s="9">
        <f>+M53-4438.84</f>
        <v>-163605.84999999998</v>
      </c>
      <c r="N54" s="9">
        <f t="shared" si="12"/>
        <v>194559.68</v>
      </c>
      <c r="O54" s="5"/>
      <c r="P54" s="13"/>
      <c r="Q54" s="9"/>
    </row>
    <row r="55" spans="1:23" x14ac:dyDescent="0.3">
      <c r="A55" s="2">
        <f>+A54+30</f>
        <v>45046</v>
      </c>
      <c r="B55" s="9">
        <f t="shared" si="14"/>
        <v>30953.83</v>
      </c>
      <c r="C55" s="25"/>
      <c r="D55" s="25">
        <v>-3373.21</v>
      </c>
      <c r="E55" s="25"/>
      <c r="F55" s="25">
        <v>366.61</v>
      </c>
      <c r="G55" s="25">
        <v>-481.31</v>
      </c>
      <c r="H55" s="25"/>
      <c r="I55" s="25"/>
      <c r="J55" s="25"/>
      <c r="K55" s="25">
        <f>SUM(B55:J55)</f>
        <v>27465.920000000002</v>
      </c>
      <c r="M55" s="9">
        <f>+M54-2894.29</f>
        <v>-166500.13999999998</v>
      </c>
      <c r="N55" s="3">
        <f t="shared" si="12"/>
        <v>193966.06</v>
      </c>
      <c r="O55" s="5"/>
      <c r="P55" s="13"/>
      <c r="Q55" s="9"/>
    </row>
    <row r="56" spans="1:23" x14ac:dyDescent="0.3">
      <c r="A56" s="2">
        <f t="shared" si="15"/>
        <v>45077</v>
      </c>
      <c r="B56" s="9">
        <f t="shared" si="14"/>
        <v>27465.920000000002</v>
      </c>
      <c r="C56" s="25"/>
      <c r="D56" s="25">
        <v>-7760.84</v>
      </c>
      <c r="E56" s="25"/>
      <c r="F56" s="25">
        <v>397.31</v>
      </c>
      <c r="G56" s="25">
        <v>-411.67</v>
      </c>
      <c r="H56" s="25"/>
      <c r="I56" s="25"/>
      <c r="J56" s="25"/>
      <c r="K56" s="25">
        <f t="shared" si="13"/>
        <v>19690.720000000005</v>
      </c>
      <c r="M56" s="9">
        <f>+M55-6611.18</f>
        <v>-173111.31999999998</v>
      </c>
      <c r="N56" s="3">
        <f t="shared" si="12"/>
        <v>192802.03999999998</v>
      </c>
      <c r="O56" s="5"/>
      <c r="P56" s="13"/>
      <c r="Q56" s="9"/>
    </row>
    <row r="57" spans="1:23" x14ac:dyDescent="0.3">
      <c r="A57" s="2">
        <f>+A56+30</f>
        <v>45107</v>
      </c>
      <c r="B57" s="9">
        <f t="shared" si="14"/>
        <v>19690.720000000005</v>
      </c>
      <c r="C57" s="25"/>
      <c r="D57" s="25">
        <v>-2941.59</v>
      </c>
      <c r="E57" s="25"/>
      <c r="F57" s="25"/>
      <c r="G57" s="25"/>
      <c r="H57" s="25"/>
      <c r="I57" s="25"/>
      <c r="J57" s="25"/>
      <c r="K57" s="25">
        <f>SUM(B57:J57)</f>
        <v>16749.130000000005</v>
      </c>
      <c r="M57" s="9">
        <v>16749.13</v>
      </c>
      <c r="N57" s="14">
        <f t="shared" si="12"/>
        <v>0</v>
      </c>
      <c r="O57" s="5"/>
      <c r="P57" s="13"/>
      <c r="Q57" s="9"/>
    </row>
    <row r="58" spans="1:23" x14ac:dyDescent="0.3">
      <c r="B58" s="9"/>
      <c r="C58" s="9"/>
      <c r="D58" s="9"/>
      <c r="E58" s="9"/>
      <c r="F58" s="9"/>
      <c r="G58" s="9"/>
      <c r="H58" s="9"/>
      <c r="I58" s="9"/>
      <c r="J58" s="9"/>
      <c r="K58" s="9"/>
      <c r="M58" s="9"/>
      <c r="P58" s="13"/>
      <c r="Q58" s="9"/>
    </row>
    <row r="59" spans="1:23" ht="15" thickBot="1" x14ac:dyDescent="0.35">
      <c r="A59" t="s">
        <v>16</v>
      </c>
      <c r="B59" s="3"/>
      <c r="C59" s="18">
        <f>SUM(C46:C57)</f>
        <v>0</v>
      </c>
      <c r="D59" s="18">
        <f t="shared" ref="D59:J59" si="16">SUM(D46:D57)</f>
        <v>-40693.270000000004</v>
      </c>
      <c r="E59" s="18">
        <f t="shared" si="16"/>
        <v>0</v>
      </c>
      <c r="F59" s="18">
        <f t="shared" si="16"/>
        <v>1679.55</v>
      </c>
      <c r="G59" s="18">
        <f t="shared" si="16"/>
        <v>-2157.4499999999998</v>
      </c>
      <c r="H59" s="18">
        <f t="shared" si="16"/>
        <v>0</v>
      </c>
      <c r="I59" s="18">
        <f t="shared" si="16"/>
        <v>-0.9</v>
      </c>
      <c r="J59" s="18">
        <f t="shared" si="16"/>
        <v>0</v>
      </c>
      <c r="K59" s="18">
        <f>+K57</f>
        <v>16749.130000000005</v>
      </c>
      <c r="M59" s="45"/>
      <c r="N59" s="3"/>
      <c r="P59" s="13"/>
      <c r="Q59" s="9"/>
    </row>
    <row r="60" spans="1:23" ht="15" thickTop="1" x14ac:dyDescent="0.3">
      <c r="B60" s="3"/>
      <c r="C60" s="20"/>
      <c r="D60" s="20"/>
      <c r="E60" s="20"/>
      <c r="F60" s="20"/>
      <c r="G60" s="20"/>
      <c r="H60" s="20"/>
      <c r="I60" s="20"/>
      <c r="J60" s="20"/>
      <c r="K60" s="20"/>
      <c r="N60" s="3"/>
      <c r="P60" s="13"/>
      <c r="Q60" s="9"/>
    </row>
    <row r="61" spans="1:23" x14ac:dyDescent="0.3">
      <c r="A61" s="12" t="s">
        <v>23</v>
      </c>
      <c r="B61" s="3"/>
      <c r="C61" s="20"/>
      <c r="D61" s="20"/>
      <c r="E61" s="20"/>
      <c r="F61" s="20"/>
      <c r="G61" s="20"/>
      <c r="H61" s="20"/>
      <c r="I61" s="20"/>
      <c r="J61" s="20"/>
      <c r="K61" s="20"/>
      <c r="N61" s="3"/>
      <c r="P61" s="13"/>
      <c r="Q61" s="9"/>
    </row>
    <row r="62" spans="1:23" ht="18" x14ac:dyDescent="0.3">
      <c r="A62" s="23">
        <v>2020</v>
      </c>
      <c r="B62" s="3"/>
      <c r="C62" s="20"/>
      <c r="D62" s="20"/>
      <c r="E62" s="20"/>
      <c r="F62" s="20"/>
      <c r="G62" s="20"/>
      <c r="H62" s="20"/>
      <c r="I62" s="20"/>
      <c r="J62" s="20"/>
      <c r="K62" s="20"/>
      <c r="N62" s="3"/>
    </row>
    <row r="63" spans="1:23" x14ac:dyDescent="0.3">
      <c r="A63" s="32" t="s">
        <v>11</v>
      </c>
      <c r="M63" s="44" t="s">
        <v>24</v>
      </c>
    </row>
    <row r="64" spans="1:23" x14ac:dyDescent="0.3">
      <c r="C64" s="51" t="s">
        <v>19</v>
      </c>
      <c r="D64" s="51" t="s">
        <v>20</v>
      </c>
      <c r="E64" s="51" t="s">
        <v>19</v>
      </c>
      <c r="F64" s="51" t="s">
        <v>19</v>
      </c>
      <c r="G64" s="51" t="s">
        <v>20</v>
      </c>
      <c r="H64" s="51" t="s">
        <v>20</v>
      </c>
      <c r="I64" s="51" t="s">
        <v>21</v>
      </c>
      <c r="J64" s="51" t="s">
        <v>20</v>
      </c>
      <c r="K64" s="52" t="s">
        <v>10</v>
      </c>
      <c r="L64" s="52"/>
      <c r="M64" s="52" t="s">
        <v>9</v>
      </c>
    </row>
    <row r="65" spans="1:15" x14ac:dyDescent="0.3">
      <c r="B65" s="4" t="s">
        <v>1</v>
      </c>
      <c r="C65" s="49" t="s">
        <v>2</v>
      </c>
      <c r="D65" s="49" t="s">
        <v>3</v>
      </c>
      <c r="E65" s="49" t="s">
        <v>12</v>
      </c>
      <c r="F65" s="49" t="s">
        <v>4</v>
      </c>
      <c r="G65" s="49" t="s">
        <v>5</v>
      </c>
      <c r="H65" s="49" t="s">
        <v>13</v>
      </c>
      <c r="I65" s="49" t="s">
        <v>6</v>
      </c>
      <c r="J65" s="49" t="s">
        <v>7</v>
      </c>
      <c r="K65" s="49" t="s">
        <v>8</v>
      </c>
      <c r="L65" s="52"/>
      <c r="M65" s="49" t="s">
        <v>8</v>
      </c>
      <c r="N65" s="6" t="s">
        <v>14</v>
      </c>
    </row>
    <row r="66" spans="1:15" x14ac:dyDescent="0.3">
      <c r="A66" s="2">
        <v>44773</v>
      </c>
      <c r="B66" s="9">
        <v>11065.320000000012</v>
      </c>
      <c r="C66" s="9"/>
      <c r="D66" s="9">
        <v>-1734.45</v>
      </c>
      <c r="E66" s="9"/>
      <c r="F66" s="9"/>
      <c r="G66" s="9"/>
      <c r="H66" s="9"/>
      <c r="I66" s="25"/>
      <c r="J66" s="9"/>
      <c r="K66" s="9">
        <f>SUM(B66:J66)</f>
        <v>9330.8700000000117</v>
      </c>
      <c r="M66" s="9">
        <v>9380.7000000000007</v>
      </c>
      <c r="N66" s="3">
        <f t="shared" ref="N66:N77" si="17">+K66-M66</f>
        <v>-49.829999999989013</v>
      </c>
      <c r="O66" s="5"/>
    </row>
    <row r="67" spans="1:15" x14ac:dyDescent="0.3">
      <c r="A67" s="2">
        <f>+A66+31</f>
        <v>44804</v>
      </c>
      <c r="B67" s="9">
        <f>+K66</f>
        <v>9330.8700000000117</v>
      </c>
      <c r="C67" s="9"/>
      <c r="D67" s="9">
        <v>-1350</v>
      </c>
      <c r="E67" s="9"/>
      <c r="F67" s="9"/>
      <c r="G67" s="9"/>
      <c r="H67" s="9"/>
      <c r="I67" s="25"/>
      <c r="J67" s="9"/>
      <c r="K67" s="9">
        <f t="shared" ref="K67:K77" si="18">SUM(B67:J67)</f>
        <v>7980.8700000000117</v>
      </c>
      <c r="M67" s="9">
        <f>+M66</f>
        <v>9380.7000000000007</v>
      </c>
      <c r="N67" s="3">
        <f t="shared" si="17"/>
        <v>-1399.829999999989</v>
      </c>
      <c r="O67" s="5"/>
    </row>
    <row r="68" spans="1:15" x14ac:dyDescent="0.3">
      <c r="A68" s="2">
        <f>+A67+30</f>
        <v>44834</v>
      </c>
      <c r="B68" s="9">
        <f t="shared" ref="B68:B77" si="19">+K67</f>
        <v>7980.8700000000117</v>
      </c>
      <c r="C68" s="9"/>
      <c r="D68" s="9">
        <v>-47.48</v>
      </c>
      <c r="E68" s="9"/>
      <c r="F68" s="9"/>
      <c r="G68" s="9"/>
      <c r="H68" s="9"/>
      <c r="I68" s="25"/>
      <c r="J68" s="9"/>
      <c r="K68" s="9">
        <f t="shared" si="18"/>
        <v>7933.3900000000122</v>
      </c>
      <c r="M68" s="9">
        <f>+M67</f>
        <v>9380.7000000000007</v>
      </c>
      <c r="N68" s="9">
        <f t="shared" si="17"/>
        <v>-1447.3099999999886</v>
      </c>
      <c r="O68" s="5"/>
    </row>
    <row r="69" spans="1:15" x14ac:dyDescent="0.3">
      <c r="A69" s="2">
        <f t="shared" ref="A69:A76" si="20">+A68+31</f>
        <v>44865</v>
      </c>
      <c r="B69" s="9">
        <f t="shared" si="19"/>
        <v>7933.3900000000122</v>
      </c>
      <c r="C69" s="9"/>
      <c r="D69" s="9">
        <v>-87.1</v>
      </c>
      <c r="E69" s="9"/>
      <c r="F69" s="9"/>
      <c r="G69" s="9"/>
      <c r="H69" s="9"/>
      <c r="I69" s="25"/>
      <c r="J69" s="9"/>
      <c r="K69" s="9">
        <f t="shared" si="18"/>
        <v>7846.2900000000118</v>
      </c>
      <c r="M69" s="9">
        <f>+M68-3075.05</f>
        <v>6305.6500000000005</v>
      </c>
      <c r="N69" s="9">
        <f>+K69-M69</f>
        <v>1540.6400000000112</v>
      </c>
      <c r="O69" s="5"/>
    </row>
    <row r="70" spans="1:15" x14ac:dyDescent="0.3">
      <c r="A70" s="2">
        <f>+A69+30</f>
        <v>44895</v>
      </c>
      <c r="B70" s="9">
        <f t="shared" si="19"/>
        <v>7846.2900000000118</v>
      </c>
      <c r="C70" s="9"/>
      <c r="D70" s="9"/>
      <c r="E70" s="9"/>
      <c r="F70" s="9">
        <v>1350</v>
      </c>
      <c r="G70" s="9"/>
      <c r="H70" s="9"/>
      <c r="I70" s="25"/>
      <c r="J70" s="9"/>
      <c r="K70" s="9">
        <f t="shared" si="18"/>
        <v>9196.2900000000118</v>
      </c>
      <c r="M70" s="9">
        <f>+M69+1350</f>
        <v>7655.6500000000005</v>
      </c>
      <c r="N70" s="9">
        <f t="shared" si="17"/>
        <v>1540.6400000000112</v>
      </c>
      <c r="O70" s="5"/>
    </row>
    <row r="71" spans="1:15" x14ac:dyDescent="0.3">
      <c r="A71" s="2">
        <f t="shared" si="20"/>
        <v>44926</v>
      </c>
      <c r="B71" s="9">
        <f t="shared" si="19"/>
        <v>9196.2900000000118</v>
      </c>
      <c r="C71" s="9"/>
      <c r="D71" s="9"/>
      <c r="E71" s="9"/>
      <c r="F71" s="9"/>
      <c r="G71" s="9">
        <v>-88.45</v>
      </c>
      <c r="H71" s="9"/>
      <c r="I71" s="25"/>
      <c r="J71" s="9"/>
      <c r="K71" s="9">
        <f t="shared" si="18"/>
        <v>9107.8400000000111</v>
      </c>
      <c r="M71" s="9">
        <f>+M70</f>
        <v>7655.6500000000005</v>
      </c>
      <c r="N71" s="9">
        <f t="shared" si="17"/>
        <v>1452.1900000000105</v>
      </c>
      <c r="O71" s="5"/>
    </row>
    <row r="72" spans="1:15" x14ac:dyDescent="0.3">
      <c r="A72" s="2">
        <f t="shared" si="20"/>
        <v>44957</v>
      </c>
      <c r="B72" s="9">
        <f t="shared" si="19"/>
        <v>9107.8400000000111</v>
      </c>
      <c r="C72" s="9"/>
      <c r="D72" s="9"/>
      <c r="E72" s="9"/>
      <c r="F72" s="9">
        <v>88.45</v>
      </c>
      <c r="G72" s="25"/>
      <c r="H72" s="9"/>
      <c r="I72" s="25"/>
      <c r="J72" s="9"/>
      <c r="K72" s="9">
        <f t="shared" si="18"/>
        <v>9196.2900000000118</v>
      </c>
      <c r="M72" s="9">
        <f>+M71</f>
        <v>7655.6500000000005</v>
      </c>
      <c r="N72" s="3">
        <f t="shared" si="17"/>
        <v>1540.6400000000112</v>
      </c>
      <c r="O72" s="5"/>
    </row>
    <row r="73" spans="1:15" x14ac:dyDescent="0.3">
      <c r="A73" s="2">
        <f>+A72+28</f>
        <v>44985</v>
      </c>
      <c r="B73" s="9">
        <f t="shared" si="19"/>
        <v>9196.2900000000118</v>
      </c>
      <c r="C73" s="9"/>
      <c r="D73" s="9">
        <v>-1711.19</v>
      </c>
      <c r="E73" s="9"/>
      <c r="F73" s="9"/>
      <c r="G73" s="25"/>
      <c r="H73" s="9"/>
      <c r="I73" s="25"/>
      <c r="J73" s="9"/>
      <c r="K73" s="9">
        <f t="shared" si="18"/>
        <v>7485.1000000000113</v>
      </c>
      <c r="M73" s="9">
        <f>+M72-1340.91</f>
        <v>6314.7400000000007</v>
      </c>
      <c r="N73" s="9">
        <f t="shared" si="17"/>
        <v>1170.3600000000106</v>
      </c>
      <c r="O73" s="5"/>
    </row>
    <row r="74" spans="1:15" x14ac:dyDescent="0.3">
      <c r="A74" s="2">
        <f t="shared" si="20"/>
        <v>45016</v>
      </c>
      <c r="B74" s="9">
        <f t="shared" si="19"/>
        <v>7485.1000000000113</v>
      </c>
      <c r="C74" s="9"/>
      <c r="D74" s="9">
        <v>-550.91999999999996</v>
      </c>
      <c r="E74" s="9"/>
      <c r="F74" s="9"/>
      <c r="G74" s="25"/>
      <c r="H74" s="9"/>
      <c r="I74" s="25"/>
      <c r="J74" s="9"/>
      <c r="K74" s="9">
        <f t="shared" si="18"/>
        <v>6934.1800000000112</v>
      </c>
      <c r="M74" s="9">
        <f>+M73+-394.66</f>
        <v>5920.0800000000008</v>
      </c>
      <c r="N74" s="3">
        <f t="shared" si="17"/>
        <v>1014.1000000000104</v>
      </c>
      <c r="O74" s="5"/>
    </row>
    <row r="75" spans="1:15" x14ac:dyDescent="0.3">
      <c r="A75" s="2">
        <f>+A74+30</f>
        <v>45046</v>
      </c>
      <c r="B75" s="9">
        <f t="shared" si="19"/>
        <v>6934.1800000000112</v>
      </c>
      <c r="C75" s="9"/>
      <c r="D75" s="9">
        <v>-163.12</v>
      </c>
      <c r="E75" s="9"/>
      <c r="F75" s="9"/>
      <c r="G75" s="25"/>
      <c r="H75" s="9"/>
      <c r="I75" s="25"/>
      <c r="J75" s="9"/>
      <c r="K75" s="9">
        <f t="shared" si="18"/>
        <v>6771.0600000000113</v>
      </c>
      <c r="M75" s="9">
        <f>+M74-66.07</f>
        <v>5854.0100000000011</v>
      </c>
      <c r="N75" s="3">
        <f t="shared" si="17"/>
        <v>917.05000000001019</v>
      </c>
      <c r="O75" s="5"/>
    </row>
    <row r="76" spans="1:15" x14ac:dyDescent="0.3">
      <c r="A76" s="2">
        <f t="shared" si="20"/>
        <v>45077</v>
      </c>
      <c r="B76" s="9">
        <f t="shared" si="19"/>
        <v>6771.0600000000113</v>
      </c>
      <c r="C76" s="9"/>
      <c r="D76" s="9">
        <v>-395.42</v>
      </c>
      <c r="E76" s="9"/>
      <c r="F76" s="9"/>
      <c r="G76" s="9"/>
      <c r="H76" s="9"/>
      <c r="I76" s="25"/>
      <c r="J76" s="9"/>
      <c r="K76" s="9">
        <f t="shared" si="18"/>
        <v>6375.6400000000112</v>
      </c>
      <c r="M76" s="9">
        <f>+M75-223.3</f>
        <v>5630.7100000000009</v>
      </c>
      <c r="N76" s="3">
        <f t="shared" si="17"/>
        <v>744.9300000000103</v>
      </c>
      <c r="O76" s="5"/>
    </row>
    <row r="77" spans="1:15" x14ac:dyDescent="0.3">
      <c r="A77" s="2">
        <f>+A76+30</f>
        <v>45107</v>
      </c>
      <c r="B77" s="9">
        <f t="shared" si="19"/>
        <v>6375.6400000000112</v>
      </c>
      <c r="C77" s="9"/>
      <c r="D77" s="9">
        <v>-104.98</v>
      </c>
      <c r="E77" s="9"/>
      <c r="F77" s="9"/>
      <c r="G77" s="9"/>
      <c r="H77" s="9"/>
      <c r="I77" s="25"/>
      <c r="J77" s="9"/>
      <c r="K77" s="9">
        <f t="shared" si="18"/>
        <v>6270.6600000000117</v>
      </c>
      <c r="M77" s="9">
        <v>6270.66</v>
      </c>
      <c r="N77" s="14">
        <f t="shared" si="17"/>
        <v>1.1823431123048067E-11</v>
      </c>
      <c r="O77" s="5"/>
    </row>
    <row r="78" spans="1:15" x14ac:dyDescent="0.3">
      <c r="B78" s="3"/>
      <c r="C78" s="9"/>
      <c r="D78" s="9"/>
      <c r="E78" s="9"/>
      <c r="F78" s="9"/>
      <c r="G78" s="9"/>
      <c r="H78" s="9"/>
      <c r="I78" s="25"/>
      <c r="J78" s="9"/>
      <c r="K78" s="9"/>
      <c r="M78" s="9"/>
      <c r="O78" s="5"/>
    </row>
    <row r="79" spans="1:15" ht="15" thickBot="1" x14ac:dyDescent="0.35">
      <c r="A79" t="s">
        <v>16</v>
      </c>
      <c r="B79" s="3"/>
      <c r="C79" s="18">
        <f>SUM(C67:C77)</f>
        <v>0</v>
      </c>
      <c r="D79" s="18">
        <f t="shared" ref="D79:J79" si="21">SUM(D66:D77)</f>
        <v>-6144.6599999999989</v>
      </c>
      <c r="E79" s="18">
        <f t="shared" si="21"/>
        <v>0</v>
      </c>
      <c r="F79" s="18">
        <f t="shared" si="21"/>
        <v>1438.45</v>
      </c>
      <c r="G79" s="18">
        <f t="shared" si="21"/>
        <v>-88.45</v>
      </c>
      <c r="H79" s="18">
        <f t="shared" si="21"/>
        <v>0</v>
      </c>
      <c r="I79" s="18">
        <f t="shared" si="21"/>
        <v>0</v>
      </c>
      <c r="J79" s="18">
        <f t="shared" si="21"/>
        <v>0</v>
      </c>
      <c r="K79" s="18">
        <f>+K77</f>
        <v>6270.6600000000117</v>
      </c>
      <c r="N79" s="3"/>
      <c r="O79" s="5"/>
    </row>
    <row r="80" spans="1:15" ht="15" thickTop="1" x14ac:dyDescent="0.3">
      <c r="B80" s="3"/>
      <c r="C80" s="20"/>
      <c r="D80" s="20"/>
      <c r="E80" s="20"/>
      <c r="F80" s="20"/>
      <c r="G80" s="20"/>
      <c r="H80" s="20"/>
      <c r="I80" s="20"/>
      <c r="J80" s="20"/>
      <c r="K80" s="20"/>
      <c r="N80" s="3"/>
      <c r="O80" s="5"/>
    </row>
    <row r="81" spans="1:22" x14ac:dyDescent="0.3">
      <c r="A81" s="12" t="s">
        <v>23</v>
      </c>
      <c r="K81" s="45"/>
      <c r="N81" s="3"/>
    </row>
    <row r="82" spans="1:22" ht="18" x14ac:dyDescent="0.3">
      <c r="A82" s="23">
        <v>2019</v>
      </c>
      <c r="N82" s="3"/>
    </row>
    <row r="83" spans="1:22" x14ac:dyDescent="0.3">
      <c r="A83" s="32" t="s">
        <v>17</v>
      </c>
      <c r="M83" s="44" t="s">
        <v>34</v>
      </c>
    </row>
    <row r="84" spans="1:22" x14ac:dyDescent="0.3">
      <c r="C84" s="51" t="s">
        <v>19</v>
      </c>
      <c r="D84" s="51" t="s">
        <v>20</v>
      </c>
      <c r="E84" s="51" t="s">
        <v>19</v>
      </c>
      <c r="F84" s="51" t="s">
        <v>19</v>
      </c>
      <c r="G84" s="51" t="s">
        <v>20</v>
      </c>
      <c r="H84" s="51" t="s">
        <v>20</v>
      </c>
      <c r="I84" s="51" t="s">
        <v>21</v>
      </c>
      <c r="J84" s="51" t="s">
        <v>20</v>
      </c>
      <c r="K84" s="52" t="s">
        <v>10</v>
      </c>
      <c r="L84" s="52"/>
      <c r="M84" s="52" t="s">
        <v>9</v>
      </c>
    </row>
    <row r="85" spans="1:22" x14ac:dyDescent="0.3">
      <c r="B85" s="4" t="s">
        <v>1</v>
      </c>
      <c r="C85" s="49" t="s">
        <v>2</v>
      </c>
      <c r="D85" s="49" t="s">
        <v>3</v>
      </c>
      <c r="E85" s="49" t="s">
        <v>12</v>
      </c>
      <c r="F85" s="49" t="s">
        <v>4</v>
      </c>
      <c r="G85" s="49" t="s">
        <v>5</v>
      </c>
      <c r="H85" s="49" t="s">
        <v>13</v>
      </c>
      <c r="I85" s="49" t="s">
        <v>6</v>
      </c>
      <c r="J85" s="49" t="s">
        <v>7</v>
      </c>
      <c r="K85" s="49" t="s">
        <v>8</v>
      </c>
      <c r="L85" s="52"/>
      <c r="M85" s="49" t="s">
        <v>8</v>
      </c>
      <c r="N85" s="6" t="s">
        <v>14</v>
      </c>
    </row>
    <row r="86" spans="1:22" x14ac:dyDescent="0.3">
      <c r="A86" s="2">
        <v>44773</v>
      </c>
      <c r="B86" s="25">
        <v>16682.939999999999</v>
      </c>
      <c r="C86" s="25"/>
      <c r="D86" s="25">
        <v>-877.5</v>
      </c>
      <c r="E86" s="25"/>
      <c r="F86" s="25"/>
      <c r="G86" s="25"/>
      <c r="H86" s="25"/>
      <c r="I86" s="25"/>
      <c r="J86" s="25"/>
      <c r="K86" s="9">
        <f t="shared" ref="K86:K97" si="22">SUM(B86:J86)</f>
        <v>15805.439999999999</v>
      </c>
      <c r="M86" s="9">
        <v>16675.13</v>
      </c>
      <c r="N86" s="3">
        <f t="shared" ref="N86:N97" si="23">+K86-M86</f>
        <v>-869.69000000000233</v>
      </c>
      <c r="P86">
        <v>2019</v>
      </c>
      <c r="Q86"/>
    </row>
    <row r="87" spans="1:22" x14ac:dyDescent="0.3">
      <c r="A87" s="2">
        <f>+A86+31</f>
        <v>44804</v>
      </c>
      <c r="B87" s="25">
        <f>+K86</f>
        <v>15805.439999999999</v>
      </c>
      <c r="C87" s="25"/>
      <c r="D87" s="25">
        <v>-77.5</v>
      </c>
      <c r="E87" s="25"/>
      <c r="F87" s="25"/>
      <c r="G87" s="25"/>
      <c r="H87" s="25"/>
      <c r="I87" s="25"/>
      <c r="J87" s="25"/>
      <c r="K87" s="9">
        <f t="shared" si="22"/>
        <v>15727.939999999999</v>
      </c>
      <c r="M87" s="9">
        <f>+M86</f>
        <v>16675.13</v>
      </c>
      <c r="N87" s="3">
        <f t="shared" si="23"/>
        <v>-947.19000000000233</v>
      </c>
      <c r="P87"/>
      <c r="Q87"/>
      <c r="R87" t="s">
        <v>106</v>
      </c>
      <c r="S87" s="9">
        <v>7.81</v>
      </c>
      <c r="T87" s="38"/>
    </row>
    <row r="88" spans="1:22" x14ac:dyDescent="0.3">
      <c r="A88" s="2">
        <f>+A87+30</f>
        <v>44834</v>
      </c>
      <c r="B88" s="25">
        <f t="shared" ref="B88:B97" si="24">+K87</f>
        <v>15727.939999999999</v>
      </c>
      <c r="C88" s="25"/>
      <c r="D88" s="25">
        <v>-7250</v>
      </c>
      <c r="E88" s="25"/>
      <c r="F88" s="25"/>
      <c r="G88" s="25"/>
      <c r="H88" s="25"/>
      <c r="I88" s="25"/>
      <c r="J88" s="25"/>
      <c r="K88" s="9">
        <f t="shared" si="22"/>
        <v>8477.9399999999987</v>
      </c>
      <c r="M88" s="9">
        <f>+M87</f>
        <v>16675.13</v>
      </c>
      <c r="N88" s="3">
        <f t="shared" si="23"/>
        <v>-8197.1900000000023</v>
      </c>
      <c r="O88" s="5"/>
      <c r="P88"/>
      <c r="Q88"/>
      <c r="R88" s="43"/>
      <c r="T88" s="38"/>
      <c r="U88" s="5"/>
      <c r="V88" s="5"/>
    </row>
    <row r="89" spans="1:22" x14ac:dyDescent="0.3">
      <c r="A89" s="2">
        <f t="shared" ref="A89:A96" si="25">+A88+31</f>
        <v>44865</v>
      </c>
      <c r="B89" s="25">
        <f t="shared" si="24"/>
        <v>8477.9399999999987</v>
      </c>
      <c r="C89" s="25"/>
      <c r="D89" s="25">
        <v>-21.88</v>
      </c>
      <c r="E89" s="25"/>
      <c r="F89" s="25"/>
      <c r="G89" s="25"/>
      <c r="H89" s="25"/>
      <c r="I89" s="25"/>
      <c r="J89" s="25"/>
      <c r="K89" s="9">
        <f t="shared" si="22"/>
        <v>8456.06</v>
      </c>
      <c r="M89" s="9">
        <f>+M88-8226.88</f>
        <v>8448.2500000000018</v>
      </c>
      <c r="N89" s="9">
        <f t="shared" si="23"/>
        <v>7.8099999999976717</v>
      </c>
      <c r="O89" t="s">
        <v>54</v>
      </c>
      <c r="P89"/>
      <c r="Q89"/>
      <c r="R89" s="17"/>
      <c r="U89" s="5"/>
      <c r="V89" s="5"/>
    </row>
    <row r="90" spans="1:22" ht="15" thickBot="1" x14ac:dyDescent="0.35">
      <c r="A90" s="2">
        <f>+A89+30</f>
        <v>44895</v>
      </c>
      <c r="B90" s="25">
        <f t="shared" si="24"/>
        <v>8456.06</v>
      </c>
      <c r="C90" s="25"/>
      <c r="D90" s="25"/>
      <c r="E90" s="25"/>
      <c r="F90" s="25"/>
      <c r="G90" s="25"/>
      <c r="H90" s="25"/>
      <c r="I90" s="25"/>
      <c r="J90" s="25"/>
      <c r="K90" s="9">
        <f t="shared" si="22"/>
        <v>8456.06</v>
      </c>
      <c r="M90" s="9">
        <f>+M89</f>
        <v>8448.2500000000018</v>
      </c>
      <c r="N90" s="9">
        <f t="shared" si="23"/>
        <v>7.8099999999976717</v>
      </c>
      <c r="O90" s="5"/>
      <c r="P90"/>
      <c r="Q90"/>
      <c r="S90" s="18">
        <f>SUM(S87:S89)</f>
        <v>7.81</v>
      </c>
      <c r="U90" s="5"/>
      <c r="V90" s="5"/>
    </row>
    <row r="91" spans="1:22" ht="15" thickTop="1" x14ac:dyDescent="0.3">
      <c r="A91" s="2">
        <f t="shared" si="25"/>
        <v>44926</v>
      </c>
      <c r="B91" s="25">
        <f t="shared" si="24"/>
        <v>8456.06</v>
      </c>
      <c r="C91" s="25"/>
      <c r="D91" s="25"/>
      <c r="E91" s="25"/>
      <c r="F91" s="25"/>
      <c r="G91" s="25"/>
      <c r="H91" s="25"/>
      <c r="I91" s="25"/>
      <c r="J91" s="25"/>
      <c r="K91" s="9">
        <f t="shared" si="22"/>
        <v>8456.06</v>
      </c>
      <c r="M91" s="9">
        <f>+M90</f>
        <v>8448.2500000000018</v>
      </c>
      <c r="N91" s="9">
        <f t="shared" si="23"/>
        <v>7.8099999999976717</v>
      </c>
      <c r="O91" s="5"/>
      <c r="U91" s="5"/>
      <c r="V91" s="5"/>
    </row>
    <row r="92" spans="1:22" x14ac:dyDescent="0.3">
      <c r="A92" s="2">
        <f t="shared" si="25"/>
        <v>44957</v>
      </c>
      <c r="B92" s="25">
        <f t="shared" si="24"/>
        <v>8456.06</v>
      </c>
      <c r="C92" s="25"/>
      <c r="D92" s="25">
        <v>-122.7</v>
      </c>
      <c r="E92" s="25"/>
      <c r="F92" s="25"/>
      <c r="G92" s="25"/>
      <c r="H92" s="25"/>
      <c r="I92" s="25"/>
      <c r="J92" s="25"/>
      <c r="K92" s="9">
        <f t="shared" si="22"/>
        <v>8333.3599999999988</v>
      </c>
      <c r="M92" s="9">
        <f>+M91-122.7</f>
        <v>8325.5500000000011</v>
      </c>
      <c r="N92" s="9">
        <f t="shared" si="23"/>
        <v>7.8099999999976717</v>
      </c>
      <c r="O92" s="5"/>
      <c r="U92" s="5"/>
      <c r="V92" s="5"/>
    </row>
    <row r="93" spans="1:22" x14ac:dyDescent="0.3">
      <c r="A93" s="2">
        <f>+A92+28</f>
        <v>44985</v>
      </c>
      <c r="B93" s="25">
        <f t="shared" si="24"/>
        <v>8333.3599999999988</v>
      </c>
      <c r="C93" s="25"/>
      <c r="D93" s="25">
        <v>-675.63</v>
      </c>
      <c r="E93" s="25"/>
      <c r="F93" s="25"/>
      <c r="G93" s="25"/>
      <c r="H93" s="25"/>
      <c r="I93" s="25"/>
      <c r="J93" s="25"/>
      <c r="K93" s="9">
        <f t="shared" si="22"/>
        <v>7657.7299999999987</v>
      </c>
      <c r="M93" s="9">
        <f>+M92+-66.88</f>
        <v>8258.6700000000019</v>
      </c>
      <c r="N93" s="9">
        <f t="shared" si="23"/>
        <v>-600.94000000000324</v>
      </c>
      <c r="O93" s="5"/>
      <c r="U93" s="5"/>
      <c r="V93" s="5"/>
    </row>
    <row r="94" spans="1:22" x14ac:dyDescent="0.3">
      <c r="A94" s="2">
        <f t="shared" si="25"/>
        <v>45016</v>
      </c>
      <c r="B94" s="25">
        <f t="shared" si="24"/>
        <v>7657.7299999999987</v>
      </c>
      <c r="C94" s="25"/>
      <c r="D94" s="25">
        <v>-58.75</v>
      </c>
      <c r="E94" s="25"/>
      <c r="F94" s="25"/>
      <c r="G94" s="25"/>
      <c r="H94" s="25"/>
      <c r="I94" s="25"/>
      <c r="J94" s="25"/>
      <c r="K94" s="9">
        <f t="shared" si="22"/>
        <v>7598.9799999999987</v>
      </c>
      <c r="M94" s="9">
        <f>+M93-58.75</f>
        <v>8199.9200000000019</v>
      </c>
      <c r="N94" s="3">
        <f t="shared" si="23"/>
        <v>-600.94000000000324</v>
      </c>
      <c r="O94" s="5"/>
      <c r="U94" s="5"/>
      <c r="V94" s="5"/>
    </row>
    <row r="95" spans="1:22" x14ac:dyDescent="0.3">
      <c r="A95" s="2">
        <f>+A94+30</f>
        <v>45046</v>
      </c>
      <c r="B95" s="25">
        <f t="shared" si="24"/>
        <v>7598.9799999999987</v>
      </c>
      <c r="C95" s="25"/>
      <c r="D95" s="25">
        <v>-56.25</v>
      </c>
      <c r="E95" s="25"/>
      <c r="F95" s="25"/>
      <c r="G95" s="25"/>
      <c r="H95" s="25"/>
      <c r="I95" s="25"/>
      <c r="J95" s="25"/>
      <c r="K95" s="9">
        <f t="shared" si="22"/>
        <v>7542.7299999999987</v>
      </c>
      <c r="M95" s="9">
        <f>+M94</f>
        <v>8199.9200000000019</v>
      </c>
      <c r="N95" s="3">
        <f t="shared" si="23"/>
        <v>-657.19000000000324</v>
      </c>
      <c r="O95" s="5"/>
      <c r="U95" s="5"/>
      <c r="V95" s="5"/>
    </row>
    <row r="96" spans="1:22" x14ac:dyDescent="0.3">
      <c r="A96" s="2">
        <f t="shared" si="25"/>
        <v>45077</v>
      </c>
      <c r="B96" s="25">
        <f t="shared" si="24"/>
        <v>7542.7299999999987</v>
      </c>
      <c r="C96" s="25"/>
      <c r="D96" s="25">
        <v>-137.5</v>
      </c>
      <c r="E96" s="25"/>
      <c r="F96" s="25"/>
      <c r="G96" s="25"/>
      <c r="H96" s="25"/>
      <c r="I96" s="25"/>
      <c r="J96" s="25"/>
      <c r="K96" s="9">
        <f t="shared" si="22"/>
        <v>7405.2299999999987</v>
      </c>
      <c r="M96" s="9">
        <f>+M95</f>
        <v>8199.9200000000019</v>
      </c>
      <c r="N96" s="3">
        <f t="shared" si="23"/>
        <v>-794.69000000000324</v>
      </c>
      <c r="U96" s="5"/>
    </row>
    <row r="97" spans="1:20" x14ac:dyDescent="0.3">
      <c r="A97" s="2">
        <f>+A96+30</f>
        <v>45107</v>
      </c>
      <c r="B97" s="25">
        <f t="shared" si="24"/>
        <v>7405.2299999999987</v>
      </c>
      <c r="C97" s="25"/>
      <c r="D97" s="25"/>
      <c r="E97" s="25"/>
      <c r="F97" s="25"/>
      <c r="G97" s="25"/>
      <c r="H97" s="25"/>
      <c r="I97" s="25"/>
      <c r="J97" s="25"/>
      <c r="K97" s="9">
        <f t="shared" si="22"/>
        <v>7405.2299999999987</v>
      </c>
      <c r="M97" s="9">
        <v>7397.42</v>
      </c>
      <c r="N97" s="16">
        <f t="shared" si="23"/>
        <v>7.8099999999985812</v>
      </c>
    </row>
    <row r="98" spans="1:20" x14ac:dyDescent="0.3">
      <c r="B98" s="3"/>
      <c r="C98" s="9"/>
      <c r="D98" s="9"/>
      <c r="E98" s="9"/>
      <c r="F98" s="9"/>
      <c r="G98" s="9"/>
      <c r="H98" s="9"/>
      <c r="I98" s="9"/>
      <c r="J98" s="9"/>
      <c r="K98" s="9"/>
      <c r="N98" s="3"/>
      <c r="T98" s="5"/>
    </row>
    <row r="99" spans="1:20" ht="15" thickBot="1" x14ac:dyDescent="0.35">
      <c r="A99" t="s">
        <v>16</v>
      </c>
      <c r="B99" s="3"/>
      <c r="C99" s="18">
        <f>SUM(C86:C97)</f>
        <v>0</v>
      </c>
      <c r="D99" s="18">
        <f>SUM(D86:D97)</f>
        <v>-9277.7099999999991</v>
      </c>
      <c r="E99" s="18">
        <f t="shared" ref="E99:J99" si="26">SUM(E86:E97)</f>
        <v>0</v>
      </c>
      <c r="F99" s="18">
        <f t="shared" si="26"/>
        <v>0</v>
      </c>
      <c r="G99" s="18">
        <f t="shared" si="26"/>
        <v>0</v>
      </c>
      <c r="H99" s="18">
        <f t="shared" si="26"/>
        <v>0</v>
      </c>
      <c r="I99" s="18">
        <f t="shared" si="26"/>
        <v>0</v>
      </c>
      <c r="J99" s="18">
        <f t="shared" si="26"/>
        <v>0</v>
      </c>
      <c r="K99" s="18">
        <f>+K97</f>
        <v>7405.2299999999987</v>
      </c>
      <c r="N99" s="3"/>
      <c r="T99" s="5"/>
    </row>
    <row r="100" spans="1:20" ht="15" thickTop="1" x14ac:dyDescent="0.3">
      <c r="B100" s="3"/>
      <c r="C100" s="20"/>
      <c r="D100" s="20"/>
      <c r="E100" s="20"/>
      <c r="F100" s="20"/>
      <c r="G100" s="20"/>
      <c r="H100" s="20"/>
      <c r="I100" s="20"/>
      <c r="J100" s="20"/>
      <c r="K100" s="20"/>
      <c r="N100" s="3"/>
    </row>
    <row r="101" spans="1:20" x14ac:dyDescent="0.3">
      <c r="A101" s="12" t="s">
        <v>23</v>
      </c>
      <c r="M101" s="44" t="s">
        <v>35</v>
      </c>
    </row>
    <row r="102" spans="1:20" ht="18" x14ac:dyDescent="0.3">
      <c r="A102" s="23">
        <v>2018</v>
      </c>
      <c r="P102">
        <v>2018</v>
      </c>
      <c r="Q102"/>
    </row>
    <row r="103" spans="1:20" x14ac:dyDescent="0.3">
      <c r="A103" s="32" t="s">
        <v>27</v>
      </c>
      <c r="P103"/>
      <c r="Q103"/>
      <c r="R103" t="s">
        <v>106</v>
      </c>
      <c r="S103" s="9">
        <v>-10.256</v>
      </c>
      <c r="T103" s="38"/>
    </row>
    <row r="104" spans="1:20" x14ac:dyDescent="0.3">
      <c r="C104" s="51" t="s">
        <v>19</v>
      </c>
      <c r="D104" s="51" t="s">
        <v>20</v>
      </c>
      <c r="E104" s="51" t="s">
        <v>19</v>
      </c>
      <c r="F104" s="51" t="s">
        <v>19</v>
      </c>
      <c r="G104" s="51" t="s">
        <v>20</v>
      </c>
      <c r="H104" s="51" t="s">
        <v>20</v>
      </c>
      <c r="I104" s="51" t="s">
        <v>21</v>
      </c>
      <c r="J104" s="51" t="s">
        <v>20</v>
      </c>
      <c r="K104" s="52" t="s">
        <v>10</v>
      </c>
      <c r="L104" s="52"/>
      <c r="M104" s="52" t="s">
        <v>9</v>
      </c>
      <c r="P104"/>
      <c r="Q104"/>
      <c r="R104" s="43"/>
      <c r="T104" s="38"/>
    </row>
    <row r="105" spans="1:20" x14ac:dyDescent="0.3">
      <c r="B105" s="4" t="s">
        <v>1</v>
      </c>
      <c r="C105" s="49" t="s">
        <v>2</v>
      </c>
      <c r="D105" s="49" t="s">
        <v>3</v>
      </c>
      <c r="E105" s="49" t="s">
        <v>12</v>
      </c>
      <c r="F105" s="49" t="s">
        <v>4</v>
      </c>
      <c r="G105" s="49" t="s">
        <v>5</v>
      </c>
      <c r="H105" s="49" t="s">
        <v>13</v>
      </c>
      <c r="I105" s="49" t="s">
        <v>6</v>
      </c>
      <c r="J105" s="49" t="s">
        <v>7</v>
      </c>
      <c r="K105" s="49" t="s">
        <v>8</v>
      </c>
      <c r="L105" s="52"/>
      <c r="M105" s="49" t="s">
        <v>8</v>
      </c>
      <c r="N105" s="6" t="s">
        <v>14</v>
      </c>
      <c r="P105"/>
      <c r="Q105"/>
      <c r="R105" s="17"/>
    </row>
    <row r="106" spans="1:20" ht="15" thickBot="1" x14ac:dyDescent="0.35">
      <c r="A106" s="2">
        <v>44773</v>
      </c>
      <c r="B106" s="9">
        <v>9445.81</v>
      </c>
      <c r="C106" s="9"/>
      <c r="D106" s="9"/>
      <c r="E106" s="9"/>
      <c r="F106" s="9"/>
      <c r="G106" s="9"/>
      <c r="H106" s="9"/>
      <c r="I106" s="9"/>
      <c r="J106" s="9"/>
      <c r="K106" s="9">
        <f t="shared" ref="K106:K117" si="27">SUM(B106:J106)</f>
        <v>9445.81</v>
      </c>
      <c r="M106" s="9">
        <v>9456.07</v>
      </c>
      <c r="N106" s="3">
        <f t="shared" ref="N106:N117" si="28">+K106-M106</f>
        <v>-10.260000000000218</v>
      </c>
      <c r="O106" t="s">
        <v>54</v>
      </c>
      <c r="P106"/>
      <c r="Q106"/>
      <c r="S106" s="18">
        <f>SUM(S103:S105)</f>
        <v>-10.256</v>
      </c>
    </row>
    <row r="107" spans="1:20" ht="15" thickTop="1" x14ac:dyDescent="0.3">
      <c r="A107" s="2">
        <f>+A106+31</f>
        <v>44804</v>
      </c>
      <c r="B107" s="9">
        <f>+K106</f>
        <v>9445.81</v>
      </c>
      <c r="C107" s="9"/>
      <c r="D107" s="9"/>
      <c r="E107" s="9"/>
      <c r="F107" s="9"/>
      <c r="G107" s="9"/>
      <c r="H107" s="9"/>
      <c r="I107" s="9"/>
      <c r="J107" s="9"/>
      <c r="K107" s="9">
        <f t="shared" si="27"/>
        <v>9445.81</v>
      </c>
      <c r="M107" s="9">
        <f>+M106</f>
        <v>9456.07</v>
      </c>
      <c r="N107" s="3">
        <f t="shared" si="28"/>
        <v>-10.260000000000218</v>
      </c>
    </row>
    <row r="108" spans="1:20" x14ac:dyDescent="0.3">
      <c r="A108" s="2">
        <f>+A107+30</f>
        <v>44834</v>
      </c>
      <c r="B108" s="9">
        <f t="shared" ref="B108:B117" si="29">+K107</f>
        <v>9445.81</v>
      </c>
      <c r="C108" s="9"/>
      <c r="D108" s="9">
        <v>-25</v>
      </c>
      <c r="E108" s="9"/>
      <c r="F108" s="9"/>
      <c r="G108" s="9"/>
      <c r="H108" s="9"/>
      <c r="I108" s="9"/>
      <c r="J108" s="9"/>
      <c r="K108" s="9">
        <f t="shared" si="27"/>
        <v>9420.81</v>
      </c>
      <c r="M108" s="9">
        <f>+M107-25</f>
        <v>9431.07</v>
      </c>
      <c r="N108" s="3">
        <f t="shared" si="28"/>
        <v>-10.260000000000218</v>
      </c>
    </row>
    <row r="109" spans="1:20" x14ac:dyDescent="0.3">
      <c r="A109" s="2">
        <f t="shared" ref="A109:A116" si="30">+A108+31</f>
        <v>44865</v>
      </c>
      <c r="B109" s="9">
        <f t="shared" si="29"/>
        <v>9420.81</v>
      </c>
      <c r="C109" s="9"/>
      <c r="D109" s="9">
        <v>-20</v>
      </c>
      <c r="E109" s="9"/>
      <c r="F109" s="9"/>
      <c r="G109" s="9"/>
      <c r="H109" s="9"/>
      <c r="I109" s="9"/>
      <c r="J109" s="9"/>
      <c r="K109" s="9">
        <f t="shared" si="27"/>
        <v>9400.81</v>
      </c>
      <c r="M109" s="9">
        <f>+M108-20</f>
        <v>9411.07</v>
      </c>
      <c r="N109" s="3">
        <f t="shared" si="28"/>
        <v>-10.260000000000218</v>
      </c>
    </row>
    <row r="110" spans="1:20" x14ac:dyDescent="0.3">
      <c r="A110" s="2">
        <f>+A109+30</f>
        <v>44895</v>
      </c>
      <c r="B110" s="9">
        <f t="shared" si="29"/>
        <v>9400.81</v>
      </c>
      <c r="C110" s="9"/>
      <c r="D110" s="9"/>
      <c r="E110" s="9"/>
      <c r="F110" s="9"/>
      <c r="G110" s="9"/>
      <c r="H110" s="9"/>
      <c r="I110" s="9"/>
      <c r="J110" s="9"/>
      <c r="K110" s="9">
        <f t="shared" si="27"/>
        <v>9400.81</v>
      </c>
      <c r="M110" s="9">
        <f>+M109</f>
        <v>9411.07</v>
      </c>
      <c r="N110" s="9">
        <f t="shared" si="28"/>
        <v>-10.260000000000218</v>
      </c>
    </row>
    <row r="111" spans="1:20" x14ac:dyDescent="0.3">
      <c r="A111" s="2">
        <f t="shared" si="30"/>
        <v>44926</v>
      </c>
      <c r="B111" s="9">
        <f t="shared" si="29"/>
        <v>9400.81</v>
      </c>
      <c r="C111" s="9"/>
      <c r="D111" s="9"/>
      <c r="E111" s="9"/>
      <c r="F111" s="9"/>
      <c r="G111" s="9"/>
      <c r="H111" s="9"/>
      <c r="I111" s="9"/>
      <c r="J111" s="9"/>
      <c r="K111" s="9">
        <f t="shared" si="27"/>
        <v>9400.81</v>
      </c>
      <c r="M111" s="9">
        <f t="shared" ref="M111:M117" si="31">+M110</f>
        <v>9411.07</v>
      </c>
      <c r="N111" s="3">
        <f t="shared" si="28"/>
        <v>-10.260000000000218</v>
      </c>
      <c r="Q111" s="9"/>
    </row>
    <row r="112" spans="1:20" x14ac:dyDescent="0.3">
      <c r="A112" s="2">
        <f t="shared" si="30"/>
        <v>44957</v>
      </c>
      <c r="B112" s="9">
        <f t="shared" si="29"/>
        <v>9400.81</v>
      </c>
      <c r="C112" s="9"/>
      <c r="D112" s="9"/>
      <c r="E112" s="9"/>
      <c r="F112" s="9"/>
      <c r="G112" s="9"/>
      <c r="H112" s="9"/>
      <c r="I112" s="9">
        <v>-9420.81</v>
      </c>
      <c r="J112" s="9"/>
      <c r="K112" s="9">
        <f t="shared" si="27"/>
        <v>-20</v>
      </c>
      <c r="M112" s="9">
        <f t="shared" si="31"/>
        <v>9411.07</v>
      </c>
      <c r="N112" s="3">
        <f t="shared" si="28"/>
        <v>-9431.07</v>
      </c>
      <c r="Q112" s="9"/>
    </row>
    <row r="113" spans="1:17" x14ac:dyDescent="0.3">
      <c r="A113" s="2">
        <f>+A112+28</f>
        <v>44985</v>
      </c>
      <c r="B113" s="9">
        <f t="shared" si="29"/>
        <v>-20</v>
      </c>
      <c r="C113" s="9"/>
      <c r="D113" s="9"/>
      <c r="E113" s="9"/>
      <c r="F113" s="9"/>
      <c r="G113" s="9"/>
      <c r="H113" s="9"/>
      <c r="I113" s="9"/>
      <c r="J113" s="9"/>
      <c r="K113" s="9">
        <f t="shared" si="27"/>
        <v>-20</v>
      </c>
      <c r="M113" s="9">
        <f t="shared" si="31"/>
        <v>9411.07</v>
      </c>
      <c r="N113" s="3">
        <f t="shared" si="28"/>
        <v>-9431.07</v>
      </c>
      <c r="Q113" s="9"/>
    </row>
    <row r="114" spans="1:17" x14ac:dyDescent="0.3">
      <c r="A114" s="2">
        <f t="shared" si="30"/>
        <v>45016</v>
      </c>
      <c r="B114" s="9">
        <f t="shared" si="29"/>
        <v>-20</v>
      </c>
      <c r="C114" s="9"/>
      <c r="D114" s="9"/>
      <c r="E114" s="9"/>
      <c r="F114" s="9"/>
      <c r="G114" s="9"/>
      <c r="H114" s="9"/>
      <c r="I114" s="9">
        <v>20</v>
      </c>
      <c r="J114" s="9"/>
      <c r="K114" s="9">
        <f t="shared" si="27"/>
        <v>0</v>
      </c>
      <c r="M114" s="9">
        <f t="shared" si="31"/>
        <v>9411.07</v>
      </c>
      <c r="N114" s="3">
        <f t="shared" si="28"/>
        <v>-9411.07</v>
      </c>
    </row>
    <row r="115" spans="1:17" x14ac:dyDescent="0.3">
      <c r="A115" s="2">
        <f>+A114+30</f>
        <v>45046</v>
      </c>
      <c r="B115" s="9">
        <f t="shared" si="29"/>
        <v>0</v>
      </c>
      <c r="C115" s="9"/>
      <c r="D115" s="9"/>
      <c r="E115" s="9"/>
      <c r="F115" s="9"/>
      <c r="G115" s="9"/>
      <c r="H115" s="9"/>
      <c r="I115" s="9"/>
      <c r="J115" s="9"/>
      <c r="K115" s="9">
        <f t="shared" si="27"/>
        <v>0</v>
      </c>
      <c r="M115" s="9">
        <f t="shared" si="31"/>
        <v>9411.07</v>
      </c>
      <c r="N115" s="3">
        <f t="shared" si="28"/>
        <v>-9411.07</v>
      </c>
    </row>
    <row r="116" spans="1:17" x14ac:dyDescent="0.3">
      <c r="A116" s="2">
        <f t="shared" si="30"/>
        <v>45077</v>
      </c>
      <c r="B116" s="9">
        <f t="shared" si="29"/>
        <v>0</v>
      </c>
      <c r="C116" s="9"/>
      <c r="D116" s="9"/>
      <c r="E116" s="9"/>
      <c r="F116" s="9"/>
      <c r="G116" s="9"/>
      <c r="H116" s="9"/>
      <c r="I116" s="9"/>
      <c r="J116" s="9"/>
      <c r="K116" s="9">
        <f t="shared" si="27"/>
        <v>0</v>
      </c>
      <c r="M116" s="9">
        <f t="shared" si="31"/>
        <v>9411.07</v>
      </c>
      <c r="N116" s="3">
        <f t="shared" si="28"/>
        <v>-9411.07</v>
      </c>
    </row>
    <row r="117" spans="1:17" x14ac:dyDescent="0.3">
      <c r="A117" s="2">
        <f>+A116+30</f>
        <v>45107</v>
      </c>
      <c r="B117" s="9">
        <f t="shared" si="29"/>
        <v>0</v>
      </c>
      <c r="C117" s="9"/>
      <c r="D117" s="9"/>
      <c r="E117" s="9"/>
      <c r="F117" s="9"/>
      <c r="G117" s="9"/>
      <c r="H117" s="9"/>
      <c r="I117" s="9"/>
      <c r="J117" s="9"/>
      <c r="K117" s="9">
        <f t="shared" si="27"/>
        <v>0</v>
      </c>
      <c r="M117" s="9">
        <v>9411.07</v>
      </c>
      <c r="N117" s="16">
        <f t="shared" si="28"/>
        <v>-9411.07</v>
      </c>
      <c r="O117" t="s">
        <v>104</v>
      </c>
    </row>
    <row r="118" spans="1:17" x14ac:dyDescent="0.3">
      <c r="A118" s="2"/>
      <c r="B118" s="3"/>
      <c r="C118" s="9"/>
      <c r="D118" s="9"/>
      <c r="E118" s="9"/>
      <c r="F118" s="9"/>
      <c r="G118" s="9"/>
      <c r="H118" s="9"/>
      <c r="I118" s="9"/>
      <c r="J118" s="9"/>
      <c r="K118" s="9"/>
      <c r="M118" s="9"/>
      <c r="N118" s="3"/>
    </row>
    <row r="119" spans="1:17" ht="15" thickBot="1" x14ac:dyDescent="0.35">
      <c r="A119" t="s">
        <v>16</v>
      </c>
      <c r="B119" s="3"/>
      <c r="C119" s="18">
        <f t="shared" ref="C119:J119" si="32">SUM(C106:C117)</f>
        <v>0</v>
      </c>
      <c r="D119" s="18">
        <f t="shared" si="32"/>
        <v>-45</v>
      </c>
      <c r="E119" s="18">
        <f t="shared" si="32"/>
        <v>0</v>
      </c>
      <c r="F119" s="18">
        <f t="shared" si="32"/>
        <v>0</v>
      </c>
      <c r="G119" s="18">
        <f t="shared" si="32"/>
        <v>0</v>
      </c>
      <c r="H119" s="18">
        <f t="shared" si="32"/>
        <v>0</v>
      </c>
      <c r="I119" s="18">
        <f t="shared" si="32"/>
        <v>-9400.81</v>
      </c>
      <c r="J119" s="18">
        <f t="shared" si="32"/>
        <v>0</v>
      </c>
      <c r="K119" s="18">
        <f>+K117</f>
        <v>0</v>
      </c>
    </row>
    <row r="120" spans="1:17" ht="15" thickTop="1" x14ac:dyDescent="0.3"/>
    <row r="121" spans="1:17" x14ac:dyDescent="0.3">
      <c r="A121" s="12" t="s">
        <v>23</v>
      </c>
    </row>
    <row r="122" spans="1:17" ht="18" x14ac:dyDescent="0.3">
      <c r="A122" s="23">
        <v>2017</v>
      </c>
    </row>
    <row r="123" spans="1:17" x14ac:dyDescent="0.3">
      <c r="A123" s="32" t="s">
        <v>28</v>
      </c>
      <c r="M123" s="44" t="s">
        <v>36</v>
      </c>
    </row>
    <row r="124" spans="1:17" x14ac:dyDescent="0.3">
      <c r="C124" s="51" t="s">
        <v>19</v>
      </c>
      <c r="D124" s="51" t="s">
        <v>20</v>
      </c>
      <c r="E124" s="51" t="s">
        <v>19</v>
      </c>
      <c r="F124" s="51" t="s">
        <v>19</v>
      </c>
      <c r="G124" s="51" t="s">
        <v>20</v>
      </c>
      <c r="H124" s="51" t="s">
        <v>20</v>
      </c>
      <c r="I124" s="51" t="s">
        <v>21</v>
      </c>
      <c r="J124" s="51" t="s">
        <v>20</v>
      </c>
      <c r="K124" s="52" t="s">
        <v>10</v>
      </c>
      <c r="L124" s="52"/>
      <c r="M124" s="52" t="s">
        <v>9</v>
      </c>
    </row>
    <row r="125" spans="1:17" x14ac:dyDescent="0.3">
      <c r="B125" s="4" t="s">
        <v>1</v>
      </c>
      <c r="C125" s="49" t="s">
        <v>2</v>
      </c>
      <c r="D125" s="49" t="s">
        <v>3</v>
      </c>
      <c r="E125" s="49" t="s">
        <v>12</v>
      </c>
      <c r="F125" s="49" t="s">
        <v>4</v>
      </c>
      <c r="G125" s="49" t="s">
        <v>5</v>
      </c>
      <c r="H125" s="49" t="s">
        <v>13</v>
      </c>
      <c r="I125" s="49" t="s">
        <v>6</v>
      </c>
      <c r="J125" s="49" t="s">
        <v>7</v>
      </c>
      <c r="K125" s="49" t="s">
        <v>8</v>
      </c>
      <c r="L125" s="52"/>
      <c r="M125" s="49" t="s">
        <v>8</v>
      </c>
      <c r="N125" s="6" t="s">
        <v>14</v>
      </c>
    </row>
    <row r="126" spans="1:17" x14ac:dyDescent="0.3">
      <c r="A126" s="2">
        <v>44773</v>
      </c>
      <c r="B126" s="9">
        <v>1689.9</v>
      </c>
      <c r="C126" s="9"/>
      <c r="D126" s="9"/>
      <c r="E126" s="9"/>
      <c r="F126" s="9"/>
      <c r="G126" s="9"/>
      <c r="H126" s="9"/>
      <c r="I126" s="9"/>
      <c r="J126" s="9"/>
      <c r="K126" s="9">
        <f t="shared" ref="K126:K137" si="33">SUM(B126:J126)</f>
        <v>1689.9</v>
      </c>
      <c r="M126" s="9">
        <v>1689.9</v>
      </c>
      <c r="N126" s="3">
        <f t="shared" ref="N126:N137" si="34">+K126-M126</f>
        <v>0</v>
      </c>
    </row>
    <row r="127" spans="1:17" x14ac:dyDescent="0.3">
      <c r="A127" s="2">
        <f>+A126+31</f>
        <v>44804</v>
      </c>
      <c r="B127" s="9">
        <f>+K126</f>
        <v>1689.9</v>
      </c>
      <c r="C127" s="9"/>
      <c r="D127" s="9"/>
      <c r="E127" s="9"/>
      <c r="F127" s="9"/>
      <c r="G127" s="9"/>
      <c r="H127" s="9"/>
      <c r="I127" s="9"/>
      <c r="J127" s="9"/>
      <c r="K127" s="9">
        <f t="shared" si="33"/>
        <v>1689.9</v>
      </c>
      <c r="M127" s="9">
        <v>1689.9</v>
      </c>
      <c r="N127" s="3">
        <f t="shared" si="34"/>
        <v>0</v>
      </c>
    </row>
    <row r="128" spans="1:17" x14ac:dyDescent="0.3">
      <c r="A128" s="2">
        <f>+A127+30</f>
        <v>44834</v>
      </c>
      <c r="B128" s="9">
        <f t="shared" ref="B128:B137" si="35">+K127</f>
        <v>1689.9</v>
      </c>
      <c r="C128" s="9"/>
      <c r="D128" s="9"/>
      <c r="E128" s="9"/>
      <c r="F128" s="9"/>
      <c r="G128" s="9"/>
      <c r="H128" s="9"/>
      <c r="I128" s="9"/>
      <c r="J128" s="9"/>
      <c r="K128" s="9">
        <f t="shared" si="33"/>
        <v>1689.9</v>
      </c>
      <c r="M128" s="9">
        <v>1689.9</v>
      </c>
      <c r="N128" s="3">
        <f t="shared" si="34"/>
        <v>0</v>
      </c>
    </row>
    <row r="129" spans="1:15" x14ac:dyDescent="0.3">
      <c r="A129" s="2">
        <f t="shared" ref="A129:A136" si="36">+A128+31</f>
        <v>44865</v>
      </c>
      <c r="B129" s="9">
        <f t="shared" si="35"/>
        <v>1689.9</v>
      </c>
      <c r="C129" s="9"/>
      <c r="D129" s="9"/>
      <c r="E129" s="9"/>
      <c r="F129" s="9"/>
      <c r="G129" s="9"/>
      <c r="H129" s="9"/>
      <c r="I129" s="9"/>
      <c r="J129" s="9"/>
      <c r="K129" s="9">
        <f t="shared" si="33"/>
        <v>1689.9</v>
      </c>
      <c r="M129" s="9">
        <v>1689.9</v>
      </c>
      <c r="N129" s="3">
        <f t="shared" si="34"/>
        <v>0</v>
      </c>
    </row>
    <row r="130" spans="1:15" x14ac:dyDescent="0.3">
      <c r="A130" s="2">
        <f>+A129+30</f>
        <v>44895</v>
      </c>
      <c r="B130" s="9">
        <f t="shared" si="35"/>
        <v>1689.9</v>
      </c>
      <c r="C130" s="9"/>
      <c r="D130" s="9"/>
      <c r="E130" s="9"/>
      <c r="F130" s="9"/>
      <c r="G130" s="9"/>
      <c r="H130" s="9"/>
      <c r="I130" s="9"/>
      <c r="J130" s="9"/>
      <c r="K130" s="9">
        <f t="shared" si="33"/>
        <v>1689.9</v>
      </c>
      <c r="M130" s="9">
        <v>1689.9</v>
      </c>
      <c r="N130" s="3">
        <f t="shared" si="34"/>
        <v>0</v>
      </c>
    </row>
    <row r="131" spans="1:15" x14ac:dyDescent="0.3">
      <c r="A131" s="2">
        <f t="shared" si="36"/>
        <v>44926</v>
      </c>
      <c r="B131" s="9">
        <f t="shared" si="35"/>
        <v>1689.9</v>
      </c>
      <c r="C131" s="9"/>
      <c r="D131" s="9"/>
      <c r="E131" s="9"/>
      <c r="F131" s="9"/>
      <c r="G131" s="9"/>
      <c r="H131" s="9"/>
      <c r="I131" s="9">
        <v>-1689.9</v>
      </c>
      <c r="J131" s="9"/>
      <c r="K131" s="9">
        <f t="shared" si="33"/>
        <v>0</v>
      </c>
      <c r="M131" s="9">
        <v>1689.9</v>
      </c>
      <c r="N131" s="3">
        <f t="shared" si="34"/>
        <v>-1689.9</v>
      </c>
      <c r="O131" t="s">
        <v>104</v>
      </c>
    </row>
    <row r="132" spans="1:15" x14ac:dyDescent="0.3">
      <c r="A132" s="2">
        <f t="shared" si="36"/>
        <v>44957</v>
      </c>
      <c r="B132" s="9">
        <f t="shared" si="35"/>
        <v>0</v>
      </c>
      <c r="C132" s="9"/>
      <c r="D132" s="9"/>
      <c r="E132" s="9"/>
      <c r="F132" s="9"/>
      <c r="G132" s="9"/>
      <c r="H132" s="9"/>
      <c r="I132" s="9"/>
      <c r="J132" s="9"/>
      <c r="K132" s="9">
        <f t="shared" si="33"/>
        <v>0</v>
      </c>
      <c r="M132" s="9">
        <v>1689.9</v>
      </c>
      <c r="N132" s="3">
        <f t="shared" si="34"/>
        <v>-1689.9</v>
      </c>
    </row>
    <row r="133" spans="1:15" x14ac:dyDescent="0.3">
      <c r="A133" s="2">
        <f>+A132+28</f>
        <v>44985</v>
      </c>
      <c r="B133" s="9">
        <f t="shared" si="35"/>
        <v>0</v>
      </c>
      <c r="C133" s="9"/>
      <c r="D133" s="9"/>
      <c r="E133" s="9"/>
      <c r="F133" s="9"/>
      <c r="G133" s="9"/>
      <c r="H133" s="9"/>
      <c r="I133" s="9"/>
      <c r="J133" s="9"/>
      <c r="K133" s="9">
        <f t="shared" si="33"/>
        <v>0</v>
      </c>
      <c r="M133" s="9">
        <v>1689.9</v>
      </c>
      <c r="N133" s="3">
        <f t="shared" si="34"/>
        <v>-1689.9</v>
      </c>
    </row>
    <row r="134" spans="1:15" x14ac:dyDescent="0.3">
      <c r="A134" s="2">
        <f t="shared" si="36"/>
        <v>45016</v>
      </c>
      <c r="B134" s="9">
        <f t="shared" si="35"/>
        <v>0</v>
      </c>
      <c r="C134" s="9"/>
      <c r="D134" s="9"/>
      <c r="E134" s="9"/>
      <c r="F134" s="9"/>
      <c r="G134" s="25"/>
      <c r="H134" s="9"/>
      <c r="I134" s="9"/>
      <c r="J134" s="9"/>
      <c r="K134" s="9">
        <f t="shared" si="33"/>
        <v>0</v>
      </c>
      <c r="M134" s="9">
        <v>1689.9</v>
      </c>
      <c r="N134" s="3">
        <f t="shared" si="34"/>
        <v>-1689.9</v>
      </c>
    </row>
    <row r="135" spans="1:15" x14ac:dyDescent="0.3">
      <c r="A135" s="2">
        <f>+A134+30</f>
        <v>45046</v>
      </c>
      <c r="B135" s="9">
        <f t="shared" si="35"/>
        <v>0</v>
      </c>
      <c r="C135" s="9"/>
      <c r="D135" s="9"/>
      <c r="E135" s="9"/>
      <c r="F135" s="9"/>
      <c r="G135" s="25"/>
      <c r="H135" s="9"/>
      <c r="I135" s="9"/>
      <c r="J135" s="9"/>
      <c r="K135" s="9">
        <f t="shared" si="33"/>
        <v>0</v>
      </c>
      <c r="M135" s="9">
        <v>1689.9</v>
      </c>
      <c r="N135" s="3">
        <f t="shared" si="34"/>
        <v>-1689.9</v>
      </c>
    </row>
    <row r="136" spans="1:15" x14ac:dyDescent="0.3">
      <c r="A136" s="2">
        <f t="shared" si="36"/>
        <v>45077</v>
      </c>
      <c r="B136" s="9">
        <f t="shared" si="35"/>
        <v>0</v>
      </c>
      <c r="C136" s="9"/>
      <c r="D136" s="9"/>
      <c r="E136" s="9"/>
      <c r="F136" s="9"/>
      <c r="G136" s="25"/>
      <c r="H136" s="9"/>
      <c r="I136" s="9"/>
      <c r="J136" s="9"/>
      <c r="K136" s="9">
        <f t="shared" si="33"/>
        <v>0</v>
      </c>
      <c r="M136" s="9">
        <v>1689.9</v>
      </c>
      <c r="N136" s="3">
        <f t="shared" si="34"/>
        <v>-1689.9</v>
      </c>
    </row>
    <row r="137" spans="1:15" x14ac:dyDescent="0.3">
      <c r="A137" s="2">
        <f>+A136+30</f>
        <v>45107</v>
      </c>
      <c r="B137" s="9">
        <f t="shared" si="35"/>
        <v>0</v>
      </c>
      <c r="C137" s="9"/>
      <c r="D137" s="9"/>
      <c r="E137" s="9"/>
      <c r="F137" s="9"/>
      <c r="G137" s="25"/>
      <c r="H137" s="9"/>
      <c r="I137" s="9"/>
      <c r="J137" s="9"/>
      <c r="K137" s="9">
        <f t="shared" si="33"/>
        <v>0</v>
      </c>
      <c r="M137" s="9">
        <v>0</v>
      </c>
      <c r="N137" s="15">
        <f t="shared" si="34"/>
        <v>0</v>
      </c>
    </row>
    <row r="138" spans="1:15" x14ac:dyDescent="0.3">
      <c r="B138" s="3"/>
      <c r="C138" s="9"/>
      <c r="D138" s="9"/>
      <c r="E138" s="9"/>
      <c r="F138" s="9"/>
      <c r="G138" s="25"/>
      <c r="H138" s="9"/>
      <c r="I138" s="9"/>
      <c r="J138" s="9"/>
      <c r="K138" s="9"/>
    </row>
    <row r="139" spans="1:15" ht="15" thickBot="1" x14ac:dyDescent="0.35">
      <c r="A139" t="s">
        <v>16</v>
      </c>
      <c r="B139" s="3"/>
      <c r="C139" s="18">
        <f t="shared" ref="C139:J139" si="37">SUM(C126:C137)</f>
        <v>0</v>
      </c>
      <c r="D139" s="18">
        <f t="shared" si="37"/>
        <v>0</v>
      </c>
      <c r="E139" s="18">
        <f t="shared" si="37"/>
        <v>0</v>
      </c>
      <c r="F139" s="18">
        <f t="shared" si="37"/>
        <v>0</v>
      </c>
      <c r="G139" s="53">
        <f t="shared" si="37"/>
        <v>0</v>
      </c>
      <c r="H139" s="18">
        <f t="shared" si="37"/>
        <v>0</v>
      </c>
      <c r="I139" s="18">
        <f t="shared" si="37"/>
        <v>-1689.9</v>
      </c>
      <c r="J139" s="18">
        <f t="shared" si="37"/>
        <v>0</v>
      </c>
      <c r="K139" s="18">
        <f>SUM(B139:J139)</f>
        <v>-1689.9</v>
      </c>
    </row>
    <row r="140" spans="1:15" ht="15" thickTop="1" x14ac:dyDescent="0.3">
      <c r="G140" s="54"/>
    </row>
    <row r="141" spans="1:15" ht="18" x14ac:dyDescent="0.3">
      <c r="A141" s="23" t="s">
        <v>59</v>
      </c>
      <c r="G141" s="54"/>
    </row>
    <row r="142" spans="1:15" x14ac:dyDescent="0.3">
      <c r="A142" s="32" t="s">
        <v>60</v>
      </c>
      <c r="G142" s="54"/>
      <c r="M142" s="44" t="s">
        <v>82</v>
      </c>
    </row>
    <row r="143" spans="1:15" x14ac:dyDescent="0.3">
      <c r="C143" s="51" t="s">
        <v>19</v>
      </c>
      <c r="D143" s="51" t="s">
        <v>20</v>
      </c>
      <c r="E143" s="51" t="s">
        <v>19</v>
      </c>
      <c r="F143" s="51" t="s">
        <v>19</v>
      </c>
      <c r="G143" s="55" t="s">
        <v>20</v>
      </c>
      <c r="H143" s="51" t="s">
        <v>20</v>
      </c>
      <c r="I143" s="51" t="s">
        <v>21</v>
      </c>
      <c r="J143" s="51" t="s">
        <v>20</v>
      </c>
      <c r="K143" s="52" t="s">
        <v>10</v>
      </c>
      <c r="L143" s="52"/>
      <c r="M143" s="52" t="s">
        <v>9</v>
      </c>
    </row>
    <row r="144" spans="1:15" x14ac:dyDescent="0.3">
      <c r="B144" s="4" t="s">
        <v>1</v>
      </c>
      <c r="C144" s="49" t="s">
        <v>2</v>
      </c>
      <c r="D144" s="49" t="s">
        <v>3</v>
      </c>
      <c r="E144" s="49" t="s">
        <v>12</v>
      </c>
      <c r="F144" s="49" t="s">
        <v>4</v>
      </c>
      <c r="G144" s="56" t="s">
        <v>5</v>
      </c>
      <c r="H144" s="49" t="s">
        <v>13</v>
      </c>
      <c r="I144" s="49" t="s">
        <v>6</v>
      </c>
      <c r="J144" s="49" t="s">
        <v>7</v>
      </c>
      <c r="K144" s="49" t="s">
        <v>8</v>
      </c>
      <c r="L144" s="52"/>
      <c r="M144" s="49" t="s">
        <v>8</v>
      </c>
      <c r="N144" s="6" t="s">
        <v>14</v>
      </c>
    </row>
    <row r="145" spans="1:17" x14ac:dyDescent="0.3">
      <c r="A145" s="40" t="s">
        <v>61</v>
      </c>
      <c r="B145" s="9">
        <v>2332.71</v>
      </c>
      <c r="C145" s="9"/>
      <c r="D145" s="9"/>
      <c r="E145" s="9"/>
      <c r="F145" s="9"/>
      <c r="G145" s="25"/>
      <c r="H145" s="9"/>
      <c r="I145" s="9">
        <v>-2332.71</v>
      </c>
      <c r="J145" s="9"/>
      <c r="K145" s="9">
        <f t="shared" ref="K145:K166" si="38">SUM(B145:J145)</f>
        <v>0</v>
      </c>
      <c r="M145" s="9">
        <v>0</v>
      </c>
      <c r="N145" s="3">
        <f t="shared" ref="N145:N165" si="39">+K145-M145</f>
        <v>0</v>
      </c>
      <c r="P145" s="9"/>
      <c r="Q145" s="9"/>
    </row>
    <row r="146" spans="1:17" x14ac:dyDescent="0.3">
      <c r="A146" s="40" t="s">
        <v>62</v>
      </c>
      <c r="B146" s="9">
        <v>1410</v>
      </c>
      <c r="C146" s="9"/>
      <c r="D146" s="9"/>
      <c r="E146" s="9"/>
      <c r="F146" s="9"/>
      <c r="G146" s="25"/>
      <c r="H146" s="9"/>
      <c r="I146" s="9">
        <v>-1410</v>
      </c>
      <c r="J146" s="9"/>
      <c r="K146" s="9">
        <f t="shared" si="38"/>
        <v>0</v>
      </c>
      <c r="M146" s="9">
        <v>92.83</v>
      </c>
      <c r="N146" s="3">
        <f t="shared" si="39"/>
        <v>-92.83</v>
      </c>
      <c r="O146" s="5"/>
      <c r="P146" s="9"/>
      <c r="Q146" s="9"/>
    </row>
    <row r="147" spans="1:17" x14ac:dyDescent="0.3">
      <c r="A147" s="40" t="s">
        <v>63</v>
      </c>
      <c r="B147" s="9">
        <v>1709.27</v>
      </c>
      <c r="C147" s="9"/>
      <c r="D147" s="9"/>
      <c r="E147" s="9"/>
      <c r="F147" s="9"/>
      <c r="G147" s="25"/>
      <c r="H147" s="9"/>
      <c r="I147" s="9">
        <v>-1709.27</v>
      </c>
      <c r="J147" s="9"/>
      <c r="K147" s="9">
        <f t="shared" si="38"/>
        <v>0</v>
      </c>
      <c r="M147" s="9">
        <v>0</v>
      </c>
      <c r="N147" s="3">
        <f t="shared" si="39"/>
        <v>0</v>
      </c>
      <c r="P147" s="9"/>
      <c r="Q147" s="9"/>
    </row>
    <row r="148" spans="1:17" x14ac:dyDescent="0.3">
      <c r="A148" s="40" t="s">
        <v>64</v>
      </c>
      <c r="B148" s="9">
        <v>3156.36</v>
      </c>
      <c r="C148" s="9"/>
      <c r="D148" s="9"/>
      <c r="E148" s="9"/>
      <c r="F148" s="9"/>
      <c r="G148" s="25"/>
      <c r="H148" s="9"/>
      <c r="I148" s="9">
        <f>-B148</f>
        <v>-3156.36</v>
      </c>
      <c r="J148" s="9"/>
      <c r="K148" s="9">
        <f t="shared" si="38"/>
        <v>0</v>
      </c>
      <c r="M148" s="9">
        <v>-48.75</v>
      </c>
      <c r="N148" s="3">
        <f t="shared" si="39"/>
        <v>48.75</v>
      </c>
      <c r="P148" s="9"/>
    </row>
    <row r="149" spans="1:17" x14ac:dyDescent="0.3">
      <c r="A149" s="40" t="s">
        <v>65</v>
      </c>
      <c r="B149" s="9">
        <v>1105.6300000000001</v>
      </c>
      <c r="C149" s="9"/>
      <c r="D149" s="9"/>
      <c r="E149" s="9"/>
      <c r="F149" s="9"/>
      <c r="G149" s="25"/>
      <c r="H149" s="9"/>
      <c r="I149" s="9">
        <f t="shared" ref="I149:I166" si="40">-B149</f>
        <v>-1105.6300000000001</v>
      </c>
      <c r="J149" s="9"/>
      <c r="K149" s="9">
        <f t="shared" si="38"/>
        <v>0</v>
      </c>
      <c r="M149" s="9">
        <v>52.5</v>
      </c>
      <c r="N149" s="3">
        <f t="shared" si="39"/>
        <v>-52.5</v>
      </c>
      <c r="P149" s="9"/>
    </row>
    <row r="150" spans="1:17" x14ac:dyDescent="0.3">
      <c r="A150" s="40" t="s">
        <v>66</v>
      </c>
      <c r="B150" s="9">
        <v>783.75</v>
      </c>
      <c r="C150" s="9"/>
      <c r="D150" s="9"/>
      <c r="E150" s="9"/>
      <c r="F150" s="9"/>
      <c r="G150" s="25"/>
      <c r="H150" s="9"/>
      <c r="I150" s="9">
        <f t="shared" si="40"/>
        <v>-783.75</v>
      </c>
      <c r="J150" s="9"/>
      <c r="K150" s="9">
        <f t="shared" si="38"/>
        <v>0</v>
      </c>
      <c r="M150" s="9">
        <v>0</v>
      </c>
      <c r="N150" s="3">
        <f t="shared" si="39"/>
        <v>0</v>
      </c>
      <c r="P150" s="9"/>
    </row>
    <row r="151" spans="1:17" x14ac:dyDescent="0.3">
      <c r="A151" s="40" t="s">
        <v>67</v>
      </c>
      <c r="B151" s="9">
        <v>491.25</v>
      </c>
      <c r="C151" s="9"/>
      <c r="D151" s="9"/>
      <c r="E151" s="9"/>
      <c r="F151" s="9"/>
      <c r="G151" s="25"/>
      <c r="H151" s="9"/>
      <c r="I151" s="9">
        <f t="shared" si="40"/>
        <v>-491.25</v>
      </c>
      <c r="J151" s="9"/>
      <c r="K151" s="9">
        <f t="shared" si="38"/>
        <v>0</v>
      </c>
      <c r="M151" s="9">
        <v>6.25</v>
      </c>
      <c r="N151" s="3">
        <f t="shared" si="39"/>
        <v>-6.25</v>
      </c>
      <c r="P151" s="9"/>
    </row>
    <row r="152" spans="1:17" x14ac:dyDescent="0.3">
      <c r="A152" s="40" t="s">
        <v>68</v>
      </c>
      <c r="B152" s="9">
        <v>1207.5</v>
      </c>
      <c r="C152" s="9"/>
      <c r="D152" s="9"/>
      <c r="E152" s="9"/>
      <c r="F152" s="9"/>
      <c r="G152" s="25"/>
      <c r="H152" s="9"/>
      <c r="I152" s="9">
        <f t="shared" si="40"/>
        <v>-1207.5</v>
      </c>
      <c r="J152" s="9"/>
      <c r="K152" s="9">
        <f t="shared" si="38"/>
        <v>0</v>
      </c>
      <c r="M152" s="9">
        <v>0</v>
      </c>
      <c r="N152" s="3">
        <f t="shared" si="39"/>
        <v>0</v>
      </c>
      <c r="P152" s="9"/>
    </row>
    <row r="153" spans="1:17" x14ac:dyDescent="0.3">
      <c r="A153" s="40" t="s">
        <v>69</v>
      </c>
      <c r="B153" s="9">
        <v>970.21</v>
      </c>
      <c r="C153" s="9"/>
      <c r="D153" s="9"/>
      <c r="E153" s="9"/>
      <c r="F153" s="9"/>
      <c r="G153" s="25"/>
      <c r="H153" s="9"/>
      <c r="I153" s="9">
        <f t="shared" si="40"/>
        <v>-970.21</v>
      </c>
      <c r="J153" s="9"/>
      <c r="K153" s="9">
        <f t="shared" si="38"/>
        <v>0</v>
      </c>
      <c r="M153" s="9">
        <v>0</v>
      </c>
      <c r="N153" s="3">
        <f t="shared" si="39"/>
        <v>0</v>
      </c>
      <c r="O153" s="5"/>
      <c r="P153" s="9"/>
    </row>
    <row r="154" spans="1:17" x14ac:dyDescent="0.3">
      <c r="A154" s="40" t="s">
        <v>70</v>
      </c>
      <c r="B154" s="9">
        <v>1796.35</v>
      </c>
      <c r="C154" s="9"/>
      <c r="D154" s="9"/>
      <c r="E154" s="9"/>
      <c r="F154" s="9"/>
      <c r="G154" s="25"/>
      <c r="H154" s="9"/>
      <c r="I154" s="9">
        <f t="shared" si="40"/>
        <v>-1796.35</v>
      </c>
      <c r="J154" s="9"/>
      <c r="K154" s="9">
        <f t="shared" si="38"/>
        <v>0</v>
      </c>
      <c r="M154" s="9">
        <v>23.96</v>
      </c>
      <c r="N154" s="3">
        <f t="shared" si="39"/>
        <v>-23.96</v>
      </c>
      <c r="P154" s="9"/>
    </row>
    <row r="155" spans="1:17" x14ac:dyDescent="0.3">
      <c r="A155" s="40" t="s">
        <v>71</v>
      </c>
      <c r="B155" s="9">
        <v>969.17</v>
      </c>
      <c r="C155" s="9"/>
      <c r="D155" s="9"/>
      <c r="E155" s="9"/>
      <c r="F155" s="9"/>
      <c r="G155" s="25"/>
      <c r="H155" s="9"/>
      <c r="I155" s="9">
        <f t="shared" si="40"/>
        <v>-969.17</v>
      </c>
      <c r="J155" s="9"/>
      <c r="K155" s="9">
        <f t="shared" si="38"/>
        <v>0</v>
      </c>
      <c r="M155" s="9">
        <v>-60</v>
      </c>
      <c r="N155" s="3">
        <f t="shared" si="39"/>
        <v>60</v>
      </c>
      <c r="P155" s="9"/>
    </row>
    <row r="156" spans="1:17" x14ac:dyDescent="0.3">
      <c r="A156" s="40" t="s">
        <v>72</v>
      </c>
      <c r="B156" s="9">
        <v>3531.99</v>
      </c>
      <c r="C156" s="9"/>
      <c r="D156" s="9"/>
      <c r="E156" s="9"/>
      <c r="F156" s="9"/>
      <c r="G156" s="25"/>
      <c r="H156" s="9"/>
      <c r="I156" s="9">
        <f t="shared" si="40"/>
        <v>-3531.99</v>
      </c>
      <c r="J156" s="9"/>
      <c r="K156" s="9">
        <f t="shared" si="38"/>
        <v>0</v>
      </c>
      <c r="M156" s="9">
        <v>0</v>
      </c>
      <c r="N156" s="3">
        <f t="shared" si="39"/>
        <v>0</v>
      </c>
      <c r="P156" s="9"/>
    </row>
    <row r="157" spans="1:17" x14ac:dyDescent="0.3">
      <c r="A157" s="40" t="s">
        <v>73</v>
      </c>
      <c r="B157" s="9">
        <v>2225</v>
      </c>
      <c r="C157" s="9"/>
      <c r="D157" s="9"/>
      <c r="E157" s="9"/>
      <c r="F157" s="9"/>
      <c r="G157" s="25"/>
      <c r="H157" s="9"/>
      <c r="I157" s="9">
        <f t="shared" si="40"/>
        <v>-2225</v>
      </c>
      <c r="J157" s="9"/>
      <c r="K157" s="9">
        <f t="shared" si="38"/>
        <v>0</v>
      </c>
      <c r="M157" s="9">
        <v>-26.25</v>
      </c>
      <c r="N157" s="3">
        <f t="shared" si="39"/>
        <v>26.25</v>
      </c>
      <c r="P157" s="9"/>
    </row>
    <row r="158" spans="1:17" x14ac:dyDescent="0.3">
      <c r="A158" s="40" t="s">
        <v>74</v>
      </c>
      <c r="B158" s="9">
        <v>3359.38</v>
      </c>
      <c r="C158" s="9"/>
      <c r="D158" s="9"/>
      <c r="E158" s="9"/>
      <c r="F158" s="9"/>
      <c r="G158" s="25"/>
      <c r="H158" s="9"/>
      <c r="I158" s="9">
        <f t="shared" si="40"/>
        <v>-3359.38</v>
      </c>
      <c r="J158" s="9"/>
      <c r="K158" s="9">
        <f t="shared" si="38"/>
        <v>0</v>
      </c>
      <c r="M158" s="9">
        <v>861.25</v>
      </c>
      <c r="N158" s="3">
        <f t="shared" si="39"/>
        <v>-861.25</v>
      </c>
      <c r="P158" s="9"/>
    </row>
    <row r="159" spans="1:17" x14ac:dyDescent="0.3">
      <c r="A159" s="40" t="s">
        <v>75</v>
      </c>
      <c r="B159" s="9">
        <v>6690.73</v>
      </c>
      <c r="C159" s="9"/>
      <c r="D159" s="9"/>
      <c r="E159" s="9"/>
      <c r="F159" s="9"/>
      <c r="G159" s="25"/>
      <c r="H159" s="9"/>
      <c r="I159" s="9">
        <f t="shared" si="40"/>
        <v>-6690.73</v>
      </c>
      <c r="J159" s="9"/>
      <c r="K159" s="9">
        <f t="shared" si="38"/>
        <v>0</v>
      </c>
      <c r="M159" s="9">
        <v>46.56</v>
      </c>
      <c r="N159" s="3">
        <f t="shared" si="39"/>
        <v>-46.56</v>
      </c>
      <c r="P159" s="9"/>
    </row>
    <row r="160" spans="1:17" x14ac:dyDescent="0.3">
      <c r="A160" s="40" t="s">
        <v>76</v>
      </c>
      <c r="B160" s="9">
        <v>7966.57</v>
      </c>
      <c r="C160" s="9"/>
      <c r="D160" s="9"/>
      <c r="E160" s="9"/>
      <c r="F160" s="9"/>
      <c r="G160" s="25"/>
      <c r="H160" s="9"/>
      <c r="I160" s="9">
        <f t="shared" si="40"/>
        <v>-7966.57</v>
      </c>
      <c r="J160" s="9"/>
      <c r="K160" s="9">
        <f t="shared" si="38"/>
        <v>0</v>
      </c>
      <c r="M160" s="9">
        <v>588.75</v>
      </c>
      <c r="N160" s="3">
        <f t="shared" si="39"/>
        <v>-588.75</v>
      </c>
      <c r="P160" s="9"/>
    </row>
    <row r="161" spans="1:16" x14ac:dyDescent="0.3">
      <c r="A161" s="40" t="s">
        <v>77</v>
      </c>
      <c r="B161" s="9">
        <v>1418.13</v>
      </c>
      <c r="C161" s="9"/>
      <c r="D161" s="9"/>
      <c r="E161" s="9"/>
      <c r="F161" s="9"/>
      <c r="G161" s="25"/>
      <c r="H161" s="9"/>
      <c r="I161" s="9">
        <f t="shared" si="40"/>
        <v>-1418.13</v>
      </c>
      <c r="J161" s="9"/>
      <c r="K161" s="9">
        <f t="shared" si="38"/>
        <v>0</v>
      </c>
      <c r="M161" s="9">
        <v>-1670.16</v>
      </c>
      <c r="N161" s="3">
        <f t="shared" si="39"/>
        <v>1670.16</v>
      </c>
      <c r="P161" s="9"/>
    </row>
    <row r="162" spans="1:16" x14ac:dyDescent="0.3">
      <c r="A162" s="40" t="s">
        <v>78</v>
      </c>
      <c r="B162" s="9">
        <v>523.33000000000004</v>
      </c>
      <c r="C162" s="9"/>
      <c r="D162" s="9"/>
      <c r="E162" s="9"/>
      <c r="F162" s="9"/>
      <c r="G162" s="25"/>
      <c r="H162" s="9"/>
      <c r="I162" s="9">
        <f t="shared" si="40"/>
        <v>-523.33000000000004</v>
      </c>
      <c r="J162" s="9"/>
      <c r="K162" s="9">
        <f t="shared" si="38"/>
        <v>0</v>
      </c>
      <c r="M162" s="9">
        <v>0</v>
      </c>
      <c r="N162" s="3">
        <f t="shared" si="39"/>
        <v>0</v>
      </c>
      <c r="P162" s="9"/>
    </row>
    <row r="163" spans="1:16" x14ac:dyDescent="0.3">
      <c r="A163" s="40" t="s">
        <v>79</v>
      </c>
      <c r="B163" s="9">
        <v>1435.73</v>
      </c>
      <c r="C163" s="9"/>
      <c r="D163" s="9"/>
      <c r="E163" s="9"/>
      <c r="F163" s="9"/>
      <c r="G163" s="25"/>
      <c r="H163" s="9"/>
      <c r="I163" s="9">
        <f t="shared" si="40"/>
        <v>-1435.73</v>
      </c>
      <c r="J163" s="9"/>
      <c r="K163" s="9">
        <f t="shared" si="38"/>
        <v>0</v>
      </c>
      <c r="M163" s="9">
        <v>0</v>
      </c>
      <c r="N163" s="3">
        <f t="shared" si="39"/>
        <v>0</v>
      </c>
      <c r="P163" s="9"/>
    </row>
    <row r="164" spans="1:16" x14ac:dyDescent="0.3">
      <c r="A164" s="40" t="s">
        <v>80</v>
      </c>
      <c r="B164" s="9">
        <v>744.09</v>
      </c>
      <c r="C164" s="9"/>
      <c r="D164" s="9"/>
      <c r="E164" s="9"/>
      <c r="F164" s="9"/>
      <c r="G164" s="25"/>
      <c r="H164" s="9"/>
      <c r="I164" s="9">
        <f t="shared" si="40"/>
        <v>-744.09</v>
      </c>
      <c r="J164" s="9"/>
      <c r="K164" s="9">
        <f t="shared" si="38"/>
        <v>0</v>
      </c>
      <c r="M164" s="9">
        <v>0</v>
      </c>
      <c r="N164" s="3">
        <f t="shared" si="39"/>
        <v>0</v>
      </c>
      <c r="P164" s="9"/>
    </row>
    <row r="165" spans="1:16" x14ac:dyDescent="0.3">
      <c r="A165" s="40" t="s">
        <v>81</v>
      </c>
      <c r="B165" s="9">
        <v>633.09</v>
      </c>
      <c r="C165" s="9"/>
      <c r="D165" s="9"/>
      <c r="E165" s="9"/>
      <c r="F165" s="9"/>
      <c r="G165" s="25"/>
      <c r="H165" s="9"/>
      <c r="I165" s="9">
        <f t="shared" si="40"/>
        <v>-633.09</v>
      </c>
      <c r="J165" s="9"/>
      <c r="K165" s="9">
        <f t="shared" si="38"/>
        <v>0</v>
      </c>
      <c r="M165" s="9">
        <v>0</v>
      </c>
      <c r="N165" s="3">
        <f t="shared" si="39"/>
        <v>0</v>
      </c>
      <c r="P165" s="9"/>
    </row>
    <row r="166" spans="1:16" x14ac:dyDescent="0.3">
      <c r="A166" s="40" t="s">
        <v>89</v>
      </c>
      <c r="B166" s="9">
        <v>1272.0899999999999</v>
      </c>
      <c r="C166" s="9"/>
      <c r="D166" s="9"/>
      <c r="E166" s="9"/>
      <c r="F166" s="9"/>
      <c r="G166" s="25"/>
      <c r="H166" s="9"/>
      <c r="I166" s="9">
        <f t="shared" si="40"/>
        <v>-1272.0899999999999</v>
      </c>
      <c r="J166" s="9"/>
      <c r="K166" s="9">
        <f t="shared" si="38"/>
        <v>0</v>
      </c>
      <c r="M166" s="9"/>
      <c r="N166" s="3"/>
      <c r="P166" s="9"/>
    </row>
    <row r="167" spans="1:16" x14ac:dyDescent="0.3">
      <c r="B167" s="3"/>
      <c r="C167" s="9"/>
      <c r="D167" s="9"/>
      <c r="E167" s="9"/>
      <c r="F167" s="9"/>
      <c r="G167" s="9"/>
      <c r="H167" s="9"/>
      <c r="I167" s="9"/>
      <c r="J167" s="9"/>
      <c r="K167" s="9"/>
      <c r="P167" s="9"/>
    </row>
    <row r="168" spans="1:16" ht="15" thickBot="1" x14ac:dyDescent="0.35">
      <c r="A168" t="s">
        <v>16</v>
      </c>
      <c r="B168" s="3"/>
      <c r="C168" s="18">
        <f t="shared" ref="C168:J168" si="41">SUM(C145:C165)</f>
        <v>0</v>
      </c>
      <c r="D168" s="18">
        <f t="shared" si="41"/>
        <v>0</v>
      </c>
      <c r="E168" s="18">
        <f t="shared" si="41"/>
        <v>0</v>
      </c>
      <c r="F168" s="18">
        <f t="shared" si="41"/>
        <v>0</v>
      </c>
      <c r="G168" s="18">
        <f t="shared" si="41"/>
        <v>0</v>
      </c>
      <c r="H168" s="18">
        <f t="shared" si="41"/>
        <v>0</v>
      </c>
      <c r="I168" s="18">
        <f>SUM(I145:I166)</f>
        <v>-45732.329999999994</v>
      </c>
      <c r="J168" s="18">
        <f t="shared" si="41"/>
        <v>0</v>
      </c>
      <c r="K168" s="18">
        <f>SUM(K145:K166)</f>
        <v>0</v>
      </c>
      <c r="M168" s="18">
        <f t="shared" ref="M168:N168" si="42">SUM(M145:M165)</f>
        <v>-133.06000000000017</v>
      </c>
      <c r="N168" s="8">
        <f t="shared" si="42"/>
        <v>133.06000000000017</v>
      </c>
    </row>
    <row r="169" spans="1:16" ht="15" thickTop="1" x14ac:dyDescent="0.3">
      <c r="B169" s="3"/>
      <c r="C169" s="20"/>
      <c r="D169" s="20"/>
      <c r="E169" s="20"/>
      <c r="F169" s="20"/>
      <c r="G169" s="20"/>
      <c r="H169" s="20"/>
      <c r="I169" s="20"/>
      <c r="J169" s="20"/>
      <c r="K169" s="20"/>
      <c r="M169" s="45"/>
    </row>
    <row r="170" spans="1:16" x14ac:dyDescent="0.3">
      <c r="B170" s="3"/>
      <c r="C170" s="20"/>
      <c r="D170" s="20"/>
      <c r="E170" s="20"/>
      <c r="F170" s="20"/>
      <c r="G170" s="20"/>
      <c r="H170" s="20"/>
      <c r="I170" s="20"/>
      <c r="J170" s="20"/>
      <c r="K170" s="20"/>
    </row>
  </sheetData>
  <sortState xmlns:xlrd2="http://schemas.microsoft.com/office/spreadsheetml/2017/richdata2" ref="A145:X165">
    <sortCondition descending="1" ref="A145:A165"/>
  </sortState>
  <phoneticPr fontId="12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6A59F-4848-4A4B-8130-CAE8CD7CA2C4}">
  <sheetPr>
    <tabColor rgb="FF92D050"/>
  </sheetPr>
  <dimension ref="A2:X30"/>
  <sheetViews>
    <sheetView zoomScale="85" zoomScaleNormal="85" workbookViewId="0">
      <pane ySplit="3" topLeftCell="A4" activePane="bottomLeft" state="frozen"/>
      <selection activeCell="O26" sqref="O26:P26"/>
      <selection pane="bottomLeft" activeCell="O11" sqref="O11"/>
    </sheetView>
  </sheetViews>
  <sheetFormatPr defaultRowHeight="14.4" x14ac:dyDescent="0.3"/>
  <cols>
    <col min="1" max="1" width="13.88671875" customWidth="1"/>
    <col min="2" max="2" width="12.44140625" bestFit="1" customWidth="1"/>
    <col min="3" max="3" width="14.88671875" bestFit="1" customWidth="1"/>
    <col min="4" max="4" width="13" bestFit="1" customWidth="1"/>
    <col min="5" max="5" width="14.109375" bestFit="1" customWidth="1"/>
    <col min="6" max="6" width="10" bestFit="1" customWidth="1"/>
    <col min="7" max="7" width="12.88671875" bestFit="1" customWidth="1"/>
    <col min="8" max="8" width="11.44140625" bestFit="1" customWidth="1"/>
    <col min="9" max="9" width="13.88671875" bestFit="1" customWidth="1"/>
    <col min="10" max="10" width="9.33203125" bestFit="1" customWidth="1"/>
    <col min="11" max="11" width="15.6640625" customWidth="1"/>
    <col min="12" max="12" width="3" customWidth="1"/>
    <col min="13" max="13" width="15.6640625" customWidth="1"/>
    <col min="14" max="14" width="12.5546875" bestFit="1" customWidth="1"/>
    <col min="15" max="16" width="10.33203125" bestFit="1" customWidth="1"/>
    <col min="17" max="17" width="11.33203125" bestFit="1" customWidth="1"/>
    <col min="20" max="20" width="24.5546875" bestFit="1" customWidth="1"/>
  </cols>
  <sheetData>
    <row r="2" spans="1:24" x14ac:dyDescent="0.3">
      <c r="A2" s="12" t="s">
        <v>88</v>
      </c>
      <c r="M2" s="12"/>
    </row>
    <row r="3" spans="1:24" x14ac:dyDescent="0.3">
      <c r="A3" s="12"/>
    </row>
    <row r="4" spans="1:24" ht="18" x14ac:dyDescent="0.3">
      <c r="A4" s="23" t="s">
        <v>99</v>
      </c>
    </row>
    <row r="5" spans="1:24" x14ac:dyDescent="0.3">
      <c r="A5" s="32" t="s">
        <v>100</v>
      </c>
      <c r="M5" s="31" t="s">
        <v>98</v>
      </c>
    </row>
    <row r="6" spans="1:24" x14ac:dyDescent="0.3">
      <c r="C6" s="10" t="s">
        <v>19</v>
      </c>
      <c r="D6" s="10" t="s">
        <v>20</v>
      </c>
      <c r="E6" s="10" t="s">
        <v>19</v>
      </c>
      <c r="F6" s="10" t="s">
        <v>19</v>
      </c>
      <c r="G6" s="10" t="s">
        <v>20</v>
      </c>
      <c r="H6" s="10" t="s">
        <v>20</v>
      </c>
      <c r="I6" s="10" t="s">
        <v>21</v>
      </c>
      <c r="J6" s="10" t="s">
        <v>20</v>
      </c>
      <c r="K6" s="7" t="s">
        <v>10</v>
      </c>
      <c r="L6" s="7"/>
      <c r="M6" s="7" t="s">
        <v>9</v>
      </c>
    </row>
    <row r="7" spans="1:24" x14ac:dyDescent="0.3">
      <c r="B7" s="4" t="s">
        <v>1</v>
      </c>
      <c r="C7" s="6" t="s">
        <v>2</v>
      </c>
      <c r="D7" s="6" t="s">
        <v>3</v>
      </c>
      <c r="E7" s="6" t="s">
        <v>12</v>
      </c>
      <c r="F7" s="6" t="s">
        <v>4</v>
      </c>
      <c r="G7" s="6" t="s">
        <v>5</v>
      </c>
      <c r="H7" s="6" t="s">
        <v>13</v>
      </c>
      <c r="I7" s="6" t="s">
        <v>6</v>
      </c>
      <c r="J7" s="6" t="s">
        <v>7</v>
      </c>
      <c r="K7" s="6" t="s">
        <v>8</v>
      </c>
      <c r="L7" s="7"/>
      <c r="M7" s="6" t="s">
        <v>8</v>
      </c>
      <c r="N7" s="6" t="s">
        <v>14</v>
      </c>
    </row>
    <row r="8" spans="1:24" x14ac:dyDescent="0.3">
      <c r="A8" s="40" t="s">
        <v>97</v>
      </c>
      <c r="B8" s="9">
        <v>0</v>
      </c>
      <c r="C8" s="9"/>
      <c r="D8" s="9"/>
      <c r="E8" s="9"/>
      <c r="F8" s="9"/>
      <c r="G8" s="25"/>
      <c r="H8" s="9"/>
      <c r="I8" s="9"/>
      <c r="J8" s="9"/>
      <c r="K8" s="9">
        <f t="shared" ref="K8:K13" si="0">SUM(B8:J8)</f>
        <v>0</v>
      </c>
      <c r="M8" s="3"/>
      <c r="N8" s="3">
        <f t="shared" ref="N8:N13" si="1">+K8-M8</f>
        <v>0</v>
      </c>
    </row>
    <row r="9" spans="1:24" x14ac:dyDescent="0.3">
      <c r="A9" s="40" t="s">
        <v>96</v>
      </c>
      <c r="B9" s="9">
        <v>0</v>
      </c>
      <c r="C9" s="9">
        <v>599</v>
      </c>
      <c r="D9" s="9">
        <v>-544.88</v>
      </c>
      <c r="E9" s="9"/>
      <c r="F9" s="9">
        <v>20.05</v>
      </c>
      <c r="G9" s="25">
        <v>-44.17</v>
      </c>
      <c r="H9" s="9"/>
      <c r="I9" s="9"/>
      <c r="J9" s="9"/>
      <c r="K9" s="9">
        <f t="shared" si="0"/>
        <v>30</v>
      </c>
      <c r="M9" s="3">
        <v>30</v>
      </c>
      <c r="N9" s="3">
        <f t="shared" si="1"/>
        <v>0</v>
      </c>
    </row>
    <row r="10" spans="1:24" x14ac:dyDescent="0.3">
      <c r="A10" s="40" t="s">
        <v>92</v>
      </c>
      <c r="B10" s="9">
        <v>128</v>
      </c>
      <c r="C10" s="9"/>
      <c r="D10" s="9"/>
      <c r="E10" s="9"/>
      <c r="F10" s="9"/>
      <c r="G10" s="25"/>
      <c r="H10" s="9"/>
      <c r="I10" s="9"/>
      <c r="J10" s="9"/>
      <c r="K10" s="9">
        <f t="shared" si="0"/>
        <v>128</v>
      </c>
      <c r="M10" s="3">
        <v>87.71</v>
      </c>
      <c r="N10" s="3">
        <f t="shared" si="1"/>
        <v>40.290000000000006</v>
      </c>
      <c r="O10" t="s">
        <v>54</v>
      </c>
    </row>
    <row r="11" spans="1:24" x14ac:dyDescent="0.3">
      <c r="A11" s="40" t="s">
        <v>93</v>
      </c>
      <c r="B11" s="9">
        <v>69.94</v>
      </c>
      <c r="C11" s="9"/>
      <c r="D11" s="9"/>
      <c r="E11" s="9"/>
      <c r="F11" s="9"/>
      <c r="G11" s="25"/>
      <c r="H11" s="9"/>
      <c r="I11" s="41">
        <v>0.06</v>
      </c>
      <c r="J11" s="9"/>
      <c r="K11" s="9">
        <f t="shared" si="0"/>
        <v>70</v>
      </c>
      <c r="M11" s="3">
        <v>70</v>
      </c>
      <c r="N11" s="3">
        <f t="shared" si="1"/>
        <v>0</v>
      </c>
    </row>
    <row r="12" spans="1:24" x14ac:dyDescent="0.3">
      <c r="A12" s="40" t="s">
        <v>94</v>
      </c>
      <c r="B12" s="9">
        <v>15</v>
      </c>
      <c r="C12" s="9"/>
      <c r="D12" s="9"/>
      <c r="E12" s="9"/>
      <c r="F12" s="9"/>
      <c r="G12" s="25"/>
      <c r="H12" s="9"/>
      <c r="I12" s="9"/>
      <c r="J12" s="9"/>
      <c r="K12" s="9">
        <f t="shared" si="0"/>
        <v>15</v>
      </c>
      <c r="M12" s="3">
        <v>15</v>
      </c>
      <c r="N12" s="3">
        <f t="shared" si="1"/>
        <v>0</v>
      </c>
    </row>
    <row r="13" spans="1:24" x14ac:dyDescent="0.3">
      <c r="A13" s="40" t="s">
        <v>95</v>
      </c>
      <c r="B13" s="9">
        <v>0</v>
      </c>
      <c r="C13" s="9"/>
      <c r="D13" s="9"/>
      <c r="E13" s="9"/>
      <c r="F13" s="9"/>
      <c r="G13" s="25"/>
      <c r="H13" s="9"/>
      <c r="I13" s="9"/>
      <c r="J13" s="9"/>
      <c r="K13" s="9">
        <f t="shared" si="0"/>
        <v>0</v>
      </c>
      <c r="M13" s="3">
        <v>0</v>
      </c>
      <c r="N13" s="3">
        <f t="shared" si="1"/>
        <v>0</v>
      </c>
    </row>
    <row r="14" spans="1:24" x14ac:dyDescent="0.3">
      <c r="A14" s="40" t="s">
        <v>91</v>
      </c>
      <c r="B14" s="9">
        <v>0</v>
      </c>
      <c r="C14" s="9"/>
      <c r="D14" s="9"/>
      <c r="E14" s="9"/>
      <c r="F14" s="9"/>
      <c r="G14" s="25"/>
      <c r="H14" s="9"/>
      <c r="I14" s="9"/>
      <c r="J14" s="9"/>
      <c r="K14" s="9">
        <f t="shared" ref="K14" si="2">SUM(B14:J14)</f>
        <v>0</v>
      </c>
      <c r="M14" s="3">
        <v>0</v>
      </c>
      <c r="N14" s="3">
        <f t="shared" ref="N14" si="3">+K14-M14</f>
        <v>0</v>
      </c>
    </row>
    <row r="15" spans="1:24" s="3" customFormat="1" x14ac:dyDescent="0.3">
      <c r="A15" s="40" t="s">
        <v>61</v>
      </c>
      <c r="B15" s="9">
        <v>0</v>
      </c>
      <c r="C15" s="9"/>
      <c r="D15" s="9"/>
      <c r="E15" s="9"/>
      <c r="F15" s="9"/>
      <c r="G15" s="25"/>
      <c r="H15" s="9"/>
      <c r="I15" s="9"/>
      <c r="J15" s="9"/>
      <c r="K15" s="9">
        <f t="shared" ref="K15:K26" si="4">SUM(B15:J15)</f>
        <v>0</v>
      </c>
      <c r="L15"/>
      <c r="M15" s="3">
        <v>53</v>
      </c>
      <c r="N15" s="3">
        <f t="shared" ref="N15:N26" si="5">+K15-M15</f>
        <v>-53</v>
      </c>
      <c r="O15" t="s">
        <v>101</v>
      </c>
      <c r="P15"/>
      <c r="Q15"/>
      <c r="R15"/>
      <c r="S15"/>
      <c r="T15"/>
      <c r="U15"/>
      <c r="V15"/>
      <c r="W15"/>
      <c r="X15"/>
    </row>
    <row r="16" spans="1:24" s="3" customFormat="1" x14ac:dyDescent="0.3">
      <c r="A16" s="40" t="s">
        <v>62</v>
      </c>
      <c r="B16" s="9">
        <v>0</v>
      </c>
      <c r="C16" s="9"/>
      <c r="D16" s="9"/>
      <c r="E16" s="9"/>
      <c r="F16" s="9"/>
      <c r="G16" s="25"/>
      <c r="H16" s="9"/>
      <c r="I16" s="9"/>
      <c r="J16" s="9"/>
      <c r="K16" s="9">
        <f t="shared" si="4"/>
        <v>0</v>
      </c>
      <c r="L16"/>
      <c r="M16" s="3">
        <v>30</v>
      </c>
      <c r="N16" s="3">
        <f t="shared" si="5"/>
        <v>-30</v>
      </c>
      <c r="O16" t="s">
        <v>101</v>
      </c>
      <c r="P16"/>
      <c r="Q16"/>
      <c r="R16"/>
      <c r="S16"/>
      <c r="T16"/>
      <c r="U16"/>
      <c r="V16"/>
      <c r="W16"/>
      <c r="X16"/>
    </row>
    <row r="17" spans="1:24" s="3" customFormat="1" x14ac:dyDescent="0.3">
      <c r="A17" s="40" t="s">
        <v>67</v>
      </c>
      <c r="B17" s="9">
        <v>0</v>
      </c>
      <c r="C17" s="9"/>
      <c r="D17" s="9"/>
      <c r="E17" s="9"/>
      <c r="F17" s="9"/>
      <c r="G17" s="25"/>
      <c r="H17" s="9"/>
      <c r="I17" s="9"/>
      <c r="J17" s="9"/>
      <c r="K17" s="9">
        <f t="shared" si="4"/>
        <v>0</v>
      </c>
      <c r="L17"/>
      <c r="M17" s="3">
        <v>50</v>
      </c>
      <c r="N17" s="3">
        <f t="shared" si="5"/>
        <v>-50</v>
      </c>
      <c r="O17" t="s">
        <v>101</v>
      </c>
      <c r="P17"/>
      <c r="Q17"/>
      <c r="R17"/>
      <c r="S17"/>
      <c r="T17"/>
      <c r="U17"/>
      <c r="V17"/>
      <c r="W17"/>
      <c r="X17"/>
    </row>
    <row r="18" spans="1:24" s="3" customFormat="1" x14ac:dyDescent="0.3">
      <c r="A18" s="40" t="s">
        <v>68</v>
      </c>
      <c r="B18" s="9">
        <v>0</v>
      </c>
      <c r="C18" s="9"/>
      <c r="D18" s="9"/>
      <c r="E18" s="9"/>
      <c r="F18" s="9"/>
      <c r="G18" s="25"/>
      <c r="H18" s="9"/>
      <c r="I18" s="9"/>
      <c r="J18" s="9"/>
      <c r="K18" s="9">
        <f t="shared" si="4"/>
        <v>0</v>
      </c>
      <c r="L18"/>
      <c r="M18" s="3">
        <v>40</v>
      </c>
      <c r="N18" s="3">
        <f t="shared" si="5"/>
        <v>-40</v>
      </c>
      <c r="O18" t="s">
        <v>101</v>
      </c>
      <c r="P18"/>
      <c r="Q18"/>
      <c r="R18"/>
      <c r="S18"/>
      <c r="T18"/>
      <c r="U18"/>
      <c r="V18"/>
      <c r="W18"/>
      <c r="X18"/>
    </row>
    <row r="19" spans="1:24" s="3" customFormat="1" x14ac:dyDescent="0.3">
      <c r="A19" s="40" t="s">
        <v>69</v>
      </c>
      <c r="B19" s="9">
        <v>0</v>
      </c>
      <c r="C19" s="9"/>
      <c r="D19" s="9"/>
      <c r="E19" s="9"/>
      <c r="F19" s="9"/>
      <c r="G19" s="25"/>
      <c r="H19" s="9"/>
      <c r="I19" s="9"/>
      <c r="J19" s="9"/>
      <c r="K19" s="9">
        <f t="shared" si="4"/>
        <v>0</v>
      </c>
      <c r="L19"/>
      <c r="M19" s="3">
        <v>40</v>
      </c>
      <c r="N19" s="3">
        <f t="shared" si="5"/>
        <v>-40</v>
      </c>
      <c r="O19" t="s">
        <v>101</v>
      </c>
      <c r="P19"/>
      <c r="Q19"/>
      <c r="R19"/>
      <c r="S19"/>
      <c r="T19"/>
      <c r="U19"/>
      <c r="V19"/>
      <c r="W19"/>
      <c r="X19"/>
    </row>
    <row r="20" spans="1:24" s="3" customFormat="1" x14ac:dyDescent="0.3">
      <c r="A20" s="40" t="s">
        <v>70</v>
      </c>
      <c r="B20" s="9">
        <v>0</v>
      </c>
      <c r="C20" s="9"/>
      <c r="D20" s="9"/>
      <c r="E20" s="9"/>
      <c r="F20" s="9"/>
      <c r="G20" s="25"/>
      <c r="H20" s="9"/>
      <c r="I20" s="9"/>
      <c r="J20" s="9"/>
      <c r="K20" s="9">
        <f t="shared" si="4"/>
        <v>0</v>
      </c>
      <c r="L20"/>
      <c r="M20" s="3">
        <v>80</v>
      </c>
      <c r="N20" s="3">
        <f t="shared" si="5"/>
        <v>-80</v>
      </c>
      <c r="O20" t="s">
        <v>101</v>
      </c>
      <c r="P20"/>
      <c r="Q20"/>
      <c r="R20"/>
      <c r="S20"/>
      <c r="T20"/>
      <c r="U20"/>
      <c r="V20"/>
      <c r="W20"/>
      <c r="X20"/>
    </row>
    <row r="21" spans="1:24" s="3" customFormat="1" x14ac:dyDescent="0.3">
      <c r="A21" s="40" t="s">
        <v>71</v>
      </c>
      <c r="B21" s="9">
        <v>0</v>
      </c>
      <c r="C21" s="9"/>
      <c r="D21" s="9"/>
      <c r="E21" s="9"/>
      <c r="F21" s="9"/>
      <c r="G21" s="25"/>
      <c r="H21" s="9"/>
      <c r="I21" s="9"/>
      <c r="J21" s="9"/>
      <c r="K21" s="9">
        <f t="shared" si="4"/>
        <v>0</v>
      </c>
      <c r="L21"/>
      <c r="M21" s="3">
        <v>25</v>
      </c>
      <c r="N21" s="3">
        <f t="shared" si="5"/>
        <v>-25</v>
      </c>
      <c r="O21" t="s">
        <v>101</v>
      </c>
      <c r="P21"/>
      <c r="Q21"/>
      <c r="R21"/>
      <c r="S21"/>
      <c r="T21"/>
      <c r="U21"/>
      <c r="V21"/>
      <c r="W21"/>
      <c r="X21"/>
    </row>
    <row r="22" spans="1:24" s="3" customFormat="1" x14ac:dyDescent="0.3">
      <c r="A22" s="40" t="s">
        <v>72</v>
      </c>
      <c r="B22" s="9">
        <v>0</v>
      </c>
      <c r="C22" s="9"/>
      <c r="D22" s="9"/>
      <c r="E22" s="9"/>
      <c r="F22" s="9"/>
      <c r="G22" s="25"/>
      <c r="H22" s="9"/>
      <c r="I22" s="9"/>
      <c r="J22" s="9"/>
      <c r="K22" s="9">
        <f t="shared" si="4"/>
        <v>0</v>
      </c>
      <c r="L22"/>
      <c r="M22" s="3">
        <v>40</v>
      </c>
      <c r="N22" s="3">
        <f t="shared" si="5"/>
        <v>-40</v>
      </c>
      <c r="O22" t="s">
        <v>101</v>
      </c>
      <c r="P22"/>
      <c r="Q22"/>
      <c r="R22"/>
      <c r="S22"/>
      <c r="T22"/>
      <c r="U22"/>
      <c r="V22"/>
      <c r="W22"/>
      <c r="X22"/>
    </row>
    <row r="23" spans="1:24" s="3" customFormat="1" x14ac:dyDescent="0.3">
      <c r="A23" s="40" t="s">
        <v>80</v>
      </c>
      <c r="B23" s="9">
        <v>0</v>
      </c>
      <c r="C23" s="9"/>
      <c r="D23" s="9"/>
      <c r="E23" s="9"/>
      <c r="F23" s="9"/>
      <c r="G23" s="25"/>
      <c r="H23" s="9"/>
      <c r="I23" s="9"/>
      <c r="J23" s="9"/>
      <c r="K23" s="9">
        <f t="shared" si="4"/>
        <v>0</v>
      </c>
      <c r="L23"/>
      <c r="M23" s="3">
        <v>131</v>
      </c>
      <c r="N23" s="3">
        <f t="shared" si="5"/>
        <v>-131</v>
      </c>
      <c r="O23" t="s">
        <v>101</v>
      </c>
      <c r="P23"/>
      <c r="Q23"/>
      <c r="R23"/>
      <c r="S23"/>
      <c r="T23"/>
      <c r="U23"/>
      <c r="V23"/>
      <c r="W23"/>
      <c r="X23"/>
    </row>
    <row r="24" spans="1:24" s="3" customFormat="1" x14ac:dyDescent="0.3">
      <c r="A24" s="40" t="s">
        <v>81</v>
      </c>
      <c r="B24" s="9">
        <v>0</v>
      </c>
      <c r="C24" s="9"/>
      <c r="D24" s="9"/>
      <c r="E24" s="9"/>
      <c r="F24" s="9"/>
      <c r="G24" s="25"/>
      <c r="H24" s="9"/>
      <c r="I24" s="9"/>
      <c r="J24" s="9"/>
      <c r="K24" s="9">
        <f t="shared" si="4"/>
        <v>0</v>
      </c>
      <c r="L24"/>
      <c r="M24" s="3">
        <v>75</v>
      </c>
      <c r="N24" s="3">
        <f t="shared" si="5"/>
        <v>-75</v>
      </c>
      <c r="O24" t="s">
        <v>101</v>
      </c>
      <c r="P24"/>
      <c r="Q24"/>
      <c r="R24"/>
      <c r="S24"/>
      <c r="T24"/>
      <c r="U24"/>
      <c r="V24"/>
      <c r="W24"/>
      <c r="X24"/>
    </row>
    <row r="25" spans="1:24" x14ac:dyDescent="0.3">
      <c r="A25" s="40" t="s">
        <v>89</v>
      </c>
      <c r="B25" s="9">
        <v>0</v>
      </c>
      <c r="C25" s="9"/>
      <c r="D25" s="9"/>
      <c r="E25" s="9"/>
      <c r="F25" s="9"/>
      <c r="G25" s="25"/>
      <c r="H25" s="9"/>
      <c r="I25" s="9"/>
      <c r="J25" s="9"/>
      <c r="K25" s="9">
        <f t="shared" si="4"/>
        <v>0</v>
      </c>
      <c r="M25" s="3">
        <v>244</v>
      </c>
      <c r="N25" s="3">
        <f t="shared" si="5"/>
        <v>-244</v>
      </c>
      <c r="O25" t="s">
        <v>101</v>
      </c>
    </row>
    <row r="26" spans="1:24" x14ac:dyDescent="0.3">
      <c r="A26" s="40" t="s">
        <v>90</v>
      </c>
      <c r="B26" s="9">
        <v>0</v>
      </c>
      <c r="C26" s="9"/>
      <c r="D26" s="9"/>
      <c r="E26" s="9"/>
      <c r="F26" s="9"/>
      <c r="G26" s="25"/>
      <c r="H26" s="9"/>
      <c r="I26" s="9"/>
      <c r="J26" s="9"/>
      <c r="K26" s="9">
        <f t="shared" si="4"/>
        <v>0</v>
      </c>
      <c r="M26" s="3">
        <v>40.29</v>
      </c>
      <c r="N26" s="3">
        <f t="shared" si="5"/>
        <v>-40.29</v>
      </c>
      <c r="O26" t="s">
        <v>101</v>
      </c>
    </row>
    <row r="27" spans="1:24" x14ac:dyDescent="0.3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24" ht="15" thickBot="1" x14ac:dyDescent="0.35">
      <c r="A28" t="s">
        <v>16</v>
      </c>
      <c r="B28" s="9"/>
      <c r="C28" s="18">
        <f>SUM(C8:C26)</f>
        <v>599</v>
      </c>
      <c r="D28" s="18">
        <f t="shared" ref="D28:K28" si="6">SUM(D8:D26)</f>
        <v>-544.88</v>
      </c>
      <c r="E28" s="18">
        <f t="shared" si="6"/>
        <v>0</v>
      </c>
      <c r="F28" s="18">
        <f t="shared" si="6"/>
        <v>20.05</v>
      </c>
      <c r="G28" s="18">
        <f t="shared" si="6"/>
        <v>-44.17</v>
      </c>
      <c r="H28" s="18">
        <f t="shared" si="6"/>
        <v>0</v>
      </c>
      <c r="I28" s="18">
        <f t="shared" si="6"/>
        <v>0.06</v>
      </c>
      <c r="J28" s="18">
        <f t="shared" si="6"/>
        <v>0</v>
      </c>
      <c r="K28" s="18">
        <f t="shared" si="6"/>
        <v>243</v>
      </c>
      <c r="M28" s="8">
        <f>SUM(M8:M26)</f>
        <v>1051</v>
      </c>
      <c r="N28" s="8">
        <f>SUM(N8:N26)</f>
        <v>-808</v>
      </c>
    </row>
    <row r="29" spans="1:24" ht="15" thickTop="1" x14ac:dyDescent="0.3">
      <c r="B29" s="9"/>
      <c r="C29" s="20"/>
      <c r="D29" s="20"/>
      <c r="E29" s="20"/>
      <c r="F29" s="20"/>
      <c r="G29" s="20"/>
      <c r="H29" s="20"/>
      <c r="I29" s="20"/>
      <c r="J29" s="20"/>
      <c r="K29" s="20"/>
    </row>
    <row r="30" spans="1:24" x14ac:dyDescent="0.3">
      <c r="B30" s="9"/>
      <c r="C30" s="20"/>
      <c r="D30" s="20"/>
      <c r="E30" s="20"/>
      <c r="F30" s="20"/>
      <c r="G30" s="20"/>
      <c r="H30" s="20"/>
      <c r="I30" s="20"/>
      <c r="J30" s="20"/>
      <c r="K30" s="20"/>
    </row>
  </sheetData>
  <sortState xmlns:xlrd2="http://schemas.microsoft.com/office/spreadsheetml/2017/richdata2" ref="A15:X26">
    <sortCondition descending="1" ref="A15:A26"/>
  </sortState>
  <phoneticPr fontId="1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P59"/>
  <sheetViews>
    <sheetView zoomScale="88" zoomScaleNormal="100" workbookViewId="0">
      <pane ySplit="3" topLeftCell="A12" activePane="bottomLeft" state="frozen"/>
      <selection activeCell="O26" sqref="O26:P26"/>
      <selection pane="bottomLeft" activeCell="O18" sqref="O18"/>
    </sheetView>
  </sheetViews>
  <sheetFormatPr defaultRowHeight="14.4" x14ac:dyDescent="0.3"/>
  <cols>
    <col min="1" max="1" width="13.88671875" customWidth="1"/>
    <col min="2" max="2" width="13.88671875" bestFit="1" customWidth="1"/>
    <col min="3" max="3" width="18.88671875" bestFit="1" customWidth="1"/>
    <col min="4" max="4" width="16.33203125" customWidth="1"/>
    <col min="5" max="5" width="14.109375" bestFit="1" customWidth="1"/>
    <col min="6" max="6" width="10" bestFit="1" customWidth="1"/>
    <col min="7" max="7" width="12.88671875" bestFit="1" customWidth="1"/>
    <col min="8" max="8" width="14.44140625" bestFit="1" customWidth="1"/>
    <col min="9" max="9" width="13.88671875" bestFit="1" customWidth="1"/>
    <col min="10" max="10" width="10.6640625" bestFit="1" customWidth="1"/>
    <col min="11" max="11" width="16.6640625" bestFit="1" customWidth="1"/>
    <col min="12" max="12" width="3.33203125" customWidth="1"/>
    <col min="13" max="14" width="19.44140625" bestFit="1" customWidth="1"/>
    <col min="15" max="15" width="17" customWidth="1"/>
    <col min="16" max="16" width="14.109375" customWidth="1"/>
  </cols>
  <sheetData>
    <row r="2" spans="1:16" x14ac:dyDescent="0.3">
      <c r="A2" s="12" t="s">
        <v>7</v>
      </c>
      <c r="M2" s="12"/>
    </row>
    <row r="4" spans="1:16" ht="18" x14ac:dyDescent="0.3">
      <c r="A4" s="23" t="s">
        <v>100</v>
      </c>
    </row>
    <row r="5" spans="1:16" x14ac:dyDescent="0.3">
      <c r="A5" s="32" t="s">
        <v>7</v>
      </c>
      <c r="B5" s="5"/>
      <c r="I5" s="7"/>
      <c r="M5" s="31" t="s">
        <v>25</v>
      </c>
      <c r="O5" s="5"/>
    </row>
    <row r="6" spans="1:16" x14ac:dyDescent="0.3">
      <c r="B6" s="37"/>
      <c r="C6" s="10" t="s">
        <v>19</v>
      </c>
      <c r="D6" s="10" t="s">
        <v>20</v>
      </c>
      <c r="E6" s="10" t="s">
        <v>19</v>
      </c>
      <c r="F6" s="10" t="s">
        <v>19</v>
      </c>
      <c r="G6" s="10" t="s">
        <v>20</v>
      </c>
      <c r="H6" s="10" t="s">
        <v>20</v>
      </c>
      <c r="I6" s="10" t="s">
        <v>21</v>
      </c>
      <c r="J6" s="10" t="s">
        <v>20</v>
      </c>
      <c r="K6" s="7" t="s">
        <v>10</v>
      </c>
      <c r="L6" s="7"/>
      <c r="M6" s="7" t="s">
        <v>9</v>
      </c>
    </row>
    <row r="7" spans="1:16" x14ac:dyDescent="0.3">
      <c r="B7" s="4" t="s">
        <v>1</v>
      </c>
      <c r="C7" s="6" t="s">
        <v>39</v>
      </c>
      <c r="D7" s="6" t="s">
        <v>3</v>
      </c>
      <c r="E7" s="6" t="s">
        <v>12</v>
      </c>
      <c r="F7" s="6" t="s">
        <v>4</v>
      </c>
      <c r="G7" s="6" t="s">
        <v>37</v>
      </c>
      <c r="H7" s="6" t="s">
        <v>38</v>
      </c>
      <c r="I7" s="6" t="s">
        <v>6</v>
      </c>
      <c r="J7" s="6" t="s">
        <v>7</v>
      </c>
      <c r="K7" s="6" t="s">
        <v>8</v>
      </c>
      <c r="L7" s="7"/>
      <c r="M7" s="6" t="s">
        <v>8</v>
      </c>
      <c r="N7" s="6" t="s">
        <v>14</v>
      </c>
      <c r="O7" s="5"/>
    </row>
    <row r="8" spans="1:16" x14ac:dyDescent="0.3">
      <c r="A8" s="2">
        <v>44773</v>
      </c>
      <c r="B8" s="37">
        <v>139405.43</v>
      </c>
      <c r="C8" s="9"/>
      <c r="D8" s="9"/>
      <c r="E8" s="9"/>
      <c r="F8" s="9"/>
      <c r="G8" s="9"/>
      <c r="H8" s="9"/>
      <c r="I8" s="9"/>
      <c r="J8" s="9"/>
      <c r="K8" s="9">
        <f>SUM(B8:J8)</f>
        <v>139405.43</v>
      </c>
      <c r="M8" s="3">
        <v>139405.43</v>
      </c>
      <c r="N8" s="3">
        <f>+K8-M8</f>
        <v>0</v>
      </c>
      <c r="P8" s="5"/>
    </row>
    <row r="9" spans="1:16" x14ac:dyDescent="0.3">
      <c r="A9" s="2">
        <f>+A8+31</f>
        <v>44804</v>
      </c>
      <c r="B9" s="9">
        <f>+K8</f>
        <v>139405.43</v>
      </c>
      <c r="C9" s="9"/>
      <c r="D9" s="9"/>
      <c r="E9" s="9"/>
      <c r="F9" s="9"/>
      <c r="G9" s="9"/>
      <c r="H9" s="9"/>
      <c r="I9" s="9"/>
      <c r="K9" s="9">
        <f>SUM(B9:I9)</f>
        <v>139405.43</v>
      </c>
      <c r="M9" s="3">
        <v>139405.43</v>
      </c>
      <c r="N9" s="9">
        <f t="shared" ref="N9:N19" si="0">+K9-M9</f>
        <v>0</v>
      </c>
      <c r="P9" s="5"/>
    </row>
    <row r="10" spans="1:16" x14ac:dyDescent="0.3">
      <c r="A10" s="2">
        <f>+A9+30</f>
        <v>44834</v>
      </c>
      <c r="B10" s="9">
        <f t="shared" ref="B10:B19" si="1">+K9</f>
        <v>139405.43</v>
      </c>
      <c r="C10" s="9"/>
      <c r="D10" s="9"/>
      <c r="E10" s="9"/>
      <c r="F10" s="9"/>
      <c r="G10" s="9"/>
      <c r="H10" s="9"/>
      <c r="J10" s="9"/>
      <c r="K10" s="9">
        <f>SUM(B10:J10)</f>
        <v>139405.43</v>
      </c>
      <c r="M10" s="3">
        <v>139405.43</v>
      </c>
      <c r="N10" s="3">
        <f t="shared" si="0"/>
        <v>0</v>
      </c>
      <c r="P10" s="5"/>
    </row>
    <row r="11" spans="1:16" x14ac:dyDescent="0.3">
      <c r="A11" s="2">
        <f t="shared" ref="A11:A18" si="2">+A10+31</f>
        <v>44865</v>
      </c>
      <c r="B11" s="9">
        <f t="shared" si="1"/>
        <v>139405.43</v>
      </c>
      <c r="C11" s="9"/>
      <c r="D11" s="9"/>
      <c r="E11" s="9"/>
      <c r="F11" s="9"/>
      <c r="G11" s="9"/>
      <c r="H11" s="9"/>
      <c r="I11" s="9"/>
      <c r="K11" s="9">
        <f>SUM(B11:I11)</f>
        <v>139405.43</v>
      </c>
      <c r="M11" s="3">
        <v>139405.43</v>
      </c>
      <c r="N11" s="9">
        <f t="shared" si="0"/>
        <v>0</v>
      </c>
      <c r="P11" s="5"/>
    </row>
    <row r="12" spans="1:16" x14ac:dyDescent="0.3">
      <c r="A12" s="2">
        <f>+A11+30</f>
        <v>44895</v>
      </c>
      <c r="B12" s="9">
        <f t="shared" si="1"/>
        <v>139405.43</v>
      </c>
      <c r="C12" s="9"/>
      <c r="D12" s="9"/>
      <c r="E12" s="9"/>
      <c r="F12" s="9"/>
      <c r="G12" s="9"/>
      <c r="H12" s="9"/>
      <c r="I12" s="9"/>
      <c r="J12" s="9"/>
      <c r="K12" s="9">
        <f t="shared" ref="K12:K19" si="3">SUM(B12:J12)</f>
        <v>139405.43</v>
      </c>
      <c r="M12" s="3">
        <v>139405.43</v>
      </c>
      <c r="N12" s="9">
        <f t="shared" si="0"/>
        <v>0</v>
      </c>
      <c r="O12" s="5"/>
      <c r="P12" s="5"/>
    </row>
    <row r="13" spans="1:16" x14ac:dyDescent="0.3">
      <c r="A13" s="2">
        <f t="shared" si="2"/>
        <v>44926</v>
      </c>
      <c r="B13" s="9">
        <f t="shared" si="1"/>
        <v>139405.43</v>
      </c>
      <c r="C13" s="9"/>
      <c r="D13" s="9"/>
      <c r="E13" s="9"/>
      <c r="F13" s="9"/>
      <c r="G13" s="9"/>
      <c r="H13" s="9"/>
      <c r="I13" s="9"/>
      <c r="J13" s="9"/>
      <c r="K13" s="9">
        <f t="shared" si="3"/>
        <v>139405.43</v>
      </c>
      <c r="M13" s="3">
        <v>139405.43</v>
      </c>
      <c r="N13" s="3">
        <f t="shared" si="0"/>
        <v>0</v>
      </c>
      <c r="O13" s="5"/>
      <c r="P13" s="5"/>
    </row>
    <row r="14" spans="1:16" x14ac:dyDescent="0.3">
      <c r="A14" s="2">
        <f t="shared" si="2"/>
        <v>44957</v>
      </c>
      <c r="B14" s="9">
        <f t="shared" si="1"/>
        <v>139405.43</v>
      </c>
      <c r="C14" s="9"/>
      <c r="D14" s="9"/>
      <c r="E14" s="9"/>
      <c r="F14" s="9"/>
      <c r="G14" s="9"/>
      <c r="H14" s="9"/>
      <c r="I14" s="9"/>
      <c r="J14" s="9"/>
      <c r="K14" s="9">
        <f t="shared" si="3"/>
        <v>139405.43</v>
      </c>
      <c r="M14" s="3">
        <v>139405.43</v>
      </c>
      <c r="N14" s="3">
        <f t="shared" si="0"/>
        <v>0</v>
      </c>
      <c r="O14" s="5"/>
      <c r="P14" s="5"/>
    </row>
    <row r="15" spans="1:16" x14ac:dyDescent="0.3">
      <c r="A15" s="2">
        <f>+A14+28</f>
        <v>44985</v>
      </c>
      <c r="B15" s="9">
        <f t="shared" si="1"/>
        <v>139405.43</v>
      </c>
      <c r="C15" s="9"/>
      <c r="D15" s="9"/>
      <c r="E15" s="9"/>
      <c r="F15" s="9"/>
      <c r="G15" s="9"/>
      <c r="H15" s="9"/>
      <c r="I15" s="9"/>
      <c r="J15" s="9"/>
      <c r="K15" s="9">
        <f t="shared" si="3"/>
        <v>139405.43</v>
      </c>
      <c r="M15" s="3">
        <v>139405.43</v>
      </c>
      <c r="N15" s="3">
        <f t="shared" si="0"/>
        <v>0</v>
      </c>
      <c r="P15" s="5"/>
    </row>
    <row r="16" spans="1:16" x14ac:dyDescent="0.3">
      <c r="A16" s="2">
        <f t="shared" si="2"/>
        <v>45016</v>
      </c>
      <c r="B16" s="9">
        <f t="shared" si="1"/>
        <v>139405.43</v>
      </c>
      <c r="C16" s="9"/>
      <c r="D16" s="9"/>
      <c r="E16" s="9"/>
      <c r="F16" s="9"/>
      <c r="G16" s="9"/>
      <c r="H16" s="9"/>
      <c r="I16" s="9"/>
      <c r="J16" s="9"/>
      <c r="K16" s="9">
        <f t="shared" si="3"/>
        <v>139405.43</v>
      </c>
      <c r="M16" s="3">
        <v>139405.43</v>
      </c>
      <c r="N16" s="3">
        <f t="shared" si="0"/>
        <v>0</v>
      </c>
      <c r="O16" s="5"/>
      <c r="P16" s="5"/>
    </row>
    <row r="17" spans="1:16" x14ac:dyDescent="0.3">
      <c r="A17" s="2">
        <f>+A16+30</f>
        <v>45046</v>
      </c>
      <c r="B17" s="9">
        <f t="shared" si="1"/>
        <v>139405.43</v>
      </c>
      <c r="C17" s="9"/>
      <c r="D17" s="9"/>
      <c r="E17" s="9"/>
      <c r="F17" s="9"/>
      <c r="G17" s="9"/>
      <c r="H17" s="9"/>
      <c r="I17" s="9"/>
      <c r="J17" s="9"/>
      <c r="K17" s="9">
        <f t="shared" si="3"/>
        <v>139405.43</v>
      </c>
      <c r="M17" s="3">
        <v>139405.43</v>
      </c>
      <c r="N17" s="3">
        <f t="shared" si="0"/>
        <v>0</v>
      </c>
      <c r="O17" s="5"/>
      <c r="P17" s="5"/>
    </row>
    <row r="18" spans="1:16" x14ac:dyDescent="0.3">
      <c r="A18" s="2">
        <f t="shared" si="2"/>
        <v>45077</v>
      </c>
      <c r="B18" s="9">
        <f t="shared" si="1"/>
        <v>139405.43</v>
      </c>
      <c r="C18" s="9">
        <v>26892.240000000002</v>
      </c>
      <c r="D18" s="9"/>
      <c r="E18" s="9"/>
      <c r="F18" s="9"/>
      <c r="G18" s="9"/>
      <c r="H18" s="9"/>
      <c r="I18" s="9"/>
      <c r="J18" s="9"/>
      <c r="K18" s="9">
        <f t="shared" si="3"/>
        <v>166297.66999999998</v>
      </c>
      <c r="M18" s="3">
        <v>139405.43</v>
      </c>
      <c r="N18" s="3">
        <f t="shared" si="0"/>
        <v>26892.239999999991</v>
      </c>
      <c r="O18" s="5"/>
      <c r="P18" s="5"/>
    </row>
    <row r="19" spans="1:16" x14ac:dyDescent="0.3">
      <c r="A19" s="2">
        <f>+A18+30</f>
        <v>45107</v>
      </c>
      <c r="B19" s="9">
        <f t="shared" si="1"/>
        <v>166297.66999999998</v>
      </c>
      <c r="C19" s="9"/>
      <c r="D19" s="9"/>
      <c r="E19" s="9"/>
      <c r="F19" s="9"/>
      <c r="G19" s="9"/>
      <c r="H19" s="9"/>
      <c r="I19" s="9"/>
      <c r="J19" s="9"/>
      <c r="K19" s="3">
        <f t="shared" si="3"/>
        <v>166297.66999999998</v>
      </c>
      <c r="M19" s="3">
        <v>166297.67000000001</v>
      </c>
      <c r="N19" s="16">
        <f t="shared" si="0"/>
        <v>0</v>
      </c>
      <c r="O19" s="5"/>
      <c r="P19" s="5"/>
    </row>
    <row r="20" spans="1:16" x14ac:dyDescent="0.3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6" ht="15" thickBot="1" x14ac:dyDescent="0.35">
      <c r="A21" t="s">
        <v>16</v>
      </c>
      <c r="B21" s="8">
        <f>+B8</f>
        <v>139405.43</v>
      </c>
      <c r="C21" s="8">
        <f>SUM(C8:C19)</f>
        <v>26892.240000000002</v>
      </c>
      <c r="D21" s="8">
        <f t="shared" ref="D21:J21" si="4">SUM(D8:D19)</f>
        <v>0</v>
      </c>
      <c r="E21" s="8">
        <f t="shared" si="4"/>
        <v>0</v>
      </c>
      <c r="F21" s="8">
        <f t="shared" si="4"/>
        <v>0</v>
      </c>
      <c r="G21" s="8">
        <f t="shared" si="4"/>
        <v>0</v>
      </c>
      <c r="H21" s="8">
        <f t="shared" si="4"/>
        <v>0</v>
      </c>
      <c r="I21" s="8">
        <f t="shared" si="4"/>
        <v>0</v>
      </c>
      <c r="J21" s="8">
        <f t="shared" si="4"/>
        <v>0</v>
      </c>
      <c r="K21" s="8">
        <f>SUM(B21:J21)</f>
        <v>166297.66999999998</v>
      </c>
      <c r="M21" s="5"/>
      <c r="N21" s="3"/>
    </row>
    <row r="22" spans="1:16" ht="15" thickTop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11"/>
      <c r="M22" s="26"/>
      <c r="N22" s="3"/>
    </row>
    <row r="23" spans="1:16" x14ac:dyDescent="0.3">
      <c r="B23" s="11"/>
      <c r="C23" s="11"/>
      <c r="D23" s="11"/>
      <c r="E23" s="11"/>
      <c r="F23" s="11"/>
      <c r="G23" s="11"/>
      <c r="H23" s="11"/>
      <c r="I23" s="11"/>
      <c r="J23" s="11"/>
      <c r="K23" s="11"/>
      <c r="M23" s="5"/>
      <c r="N23" s="3"/>
    </row>
    <row r="24" spans="1:16" ht="18" x14ac:dyDescent="0.3">
      <c r="A24" s="23" t="s">
        <v>100</v>
      </c>
      <c r="B24" s="5"/>
      <c r="K24" s="5"/>
    </row>
    <row r="25" spans="1:16" x14ac:dyDescent="0.3">
      <c r="A25" s="32" t="s">
        <v>102</v>
      </c>
      <c r="M25" s="31" t="s">
        <v>103</v>
      </c>
      <c r="N25" s="3"/>
    </row>
    <row r="26" spans="1:16" x14ac:dyDescent="0.3">
      <c r="C26" s="10" t="s">
        <v>19</v>
      </c>
      <c r="D26" s="10" t="s">
        <v>20</v>
      </c>
      <c r="E26" s="10" t="s">
        <v>19</v>
      </c>
      <c r="F26" s="10" t="s">
        <v>19</v>
      </c>
      <c r="G26" s="10" t="s">
        <v>20</v>
      </c>
      <c r="H26" s="10" t="s">
        <v>20</v>
      </c>
      <c r="I26" s="10" t="s">
        <v>21</v>
      </c>
      <c r="J26" s="10" t="s">
        <v>20</v>
      </c>
      <c r="K26" s="7" t="s">
        <v>10</v>
      </c>
      <c r="L26" s="7"/>
      <c r="M26" s="7" t="s">
        <v>9</v>
      </c>
    </row>
    <row r="27" spans="1:16" x14ac:dyDescent="0.3">
      <c r="B27" s="4" t="s">
        <v>1</v>
      </c>
      <c r="C27" s="6" t="s">
        <v>39</v>
      </c>
      <c r="D27" s="6" t="s">
        <v>3</v>
      </c>
      <c r="E27" s="6" t="s">
        <v>12</v>
      </c>
      <c r="F27" s="6" t="s">
        <v>4</v>
      </c>
      <c r="G27" s="6" t="s">
        <v>37</v>
      </c>
      <c r="H27" s="6" t="s">
        <v>38</v>
      </c>
      <c r="I27" s="6" t="s">
        <v>6</v>
      </c>
      <c r="J27" s="6" t="s">
        <v>7</v>
      </c>
      <c r="K27" s="6" t="s">
        <v>8</v>
      </c>
      <c r="L27" s="7"/>
      <c r="M27" s="6" t="s">
        <v>8</v>
      </c>
      <c r="N27" s="6" t="s">
        <v>14</v>
      </c>
    </row>
    <row r="28" spans="1:16" x14ac:dyDescent="0.3">
      <c r="A28" s="2">
        <v>44773</v>
      </c>
      <c r="B28" s="9">
        <v>154091.14000000001</v>
      </c>
      <c r="C28" s="9"/>
      <c r="D28" s="9"/>
      <c r="E28" s="9"/>
      <c r="F28" s="9"/>
      <c r="G28" s="9"/>
      <c r="H28" s="9"/>
      <c r="I28" s="9"/>
      <c r="J28" s="9"/>
      <c r="K28" s="3">
        <f>SUM(B28:J28)</f>
        <v>154091.14000000001</v>
      </c>
      <c r="M28" s="3">
        <v>154091.14000000001</v>
      </c>
      <c r="N28" s="3">
        <f>+K28-M28</f>
        <v>0</v>
      </c>
    </row>
    <row r="29" spans="1:16" x14ac:dyDescent="0.3">
      <c r="A29" s="2">
        <f>+A28+31</f>
        <v>44804</v>
      </c>
      <c r="B29" s="3">
        <f>+K28</f>
        <v>154091.14000000001</v>
      </c>
      <c r="C29" s="9"/>
      <c r="D29" s="9"/>
      <c r="E29" s="9"/>
      <c r="F29" s="9"/>
      <c r="G29" s="9"/>
      <c r="H29" s="9"/>
      <c r="I29" s="9"/>
      <c r="J29" s="9"/>
      <c r="K29" s="3">
        <f>SUM(B29:J29)</f>
        <v>154091.14000000001</v>
      </c>
      <c r="M29" s="3">
        <v>154091.14000000001</v>
      </c>
      <c r="N29" s="9">
        <f t="shared" ref="N29:N39" si="5">+K29-M29</f>
        <v>0</v>
      </c>
    </row>
    <row r="30" spans="1:16" x14ac:dyDescent="0.3">
      <c r="A30" s="2">
        <f>+A29+30</f>
        <v>44834</v>
      </c>
      <c r="B30" s="3">
        <f t="shared" ref="B30:B39" si="6">+K29</f>
        <v>154091.14000000001</v>
      </c>
      <c r="C30" s="9"/>
      <c r="D30" s="9"/>
      <c r="E30" s="9"/>
      <c r="F30" s="9"/>
      <c r="G30" s="9"/>
      <c r="H30" s="9"/>
      <c r="I30" s="9"/>
      <c r="J30" s="9"/>
      <c r="K30" s="3">
        <f t="shared" ref="K30:K39" si="7">SUM(B30:J30)</f>
        <v>154091.14000000001</v>
      </c>
      <c r="M30" s="3">
        <v>154091.14000000001</v>
      </c>
      <c r="N30" s="3">
        <f t="shared" si="5"/>
        <v>0</v>
      </c>
    </row>
    <row r="31" spans="1:16" x14ac:dyDescent="0.3">
      <c r="A31" s="2">
        <f t="shared" ref="A31:A38" si="8">+A30+31</f>
        <v>44865</v>
      </c>
      <c r="B31" s="3">
        <f t="shared" si="6"/>
        <v>154091.14000000001</v>
      </c>
      <c r="C31" s="9"/>
      <c r="D31" s="9"/>
      <c r="E31" s="9"/>
      <c r="F31" s="9"/>
      <c r="G31" s="9"/>
      <c r="H31" s="9"/>
      <c r="I31" s="9"/>
      <c r="J31" s="9"/>
      <c r="K31" s="3">
        <f t="shared" si="7"/>
        <v>154091.14000000001</v>
      </c>
      <c r="M31" s="3">
        <v>154091.14000000001</v>
      </c>
      <c r="N31" s="9">
        <f t="shared" si="5"/>
        <v>0</v>
      </c>
    </row>
    <row r="32" spans="1:16" x14ac:dyDescent="0.3">
      <c r="A32" s="2">
        <f>+A31+30</f>
        <v>44895</v>
      </c>
      <c r="B32" s="3">
        <f t="shared" si="6"/>
        <v>154091.14000000001</v>
      </c>
      <c r="C32" s="9"/>
      <c r="D32" s="9"/>
      <c r="E32" s="9"/>
      <c r="F32" s="9"/>
      <c r="G32" s="9"/>
      <c r="H32" s="9"/>
      <c r="I32" s="9"/>
      <c r="J32" s="9"/>
      <c r="K32" s="3">
        <f t="shared" si="7"/>
        <v>154091.14000000001</v>
      </c>
      <c r="M32" s="3">
        <v>154091.14000000001</v>
      </c>
      <c r="N32" s="9">
        <f t="shared" si="5"/>
        <v>0</v>
      </c>
    </row>
    <row r="33" spans="1:14" x14ac:dyDescent="0.3">
      <c r="A33" s="2">
        <f t="shared" si="8"/>
        <v>44926</v>
      </c>
      <c r="B33" s="3">
        <f t="shared" si="6"/>
        <v>154091.14000000001</v>
      </c>
      <c r="C33" s="9"/>
      <c r="D33" s="9"/>
      <c r="E33" s="9"/>
      <c r="F33" s="9"/>
      <c r="G33" s="9"/>
      <c r="H33" s="9"/>
      <c r="I33" s="9"/>
      <c r="J33" s="9"/>
      <c r="K33" s="3">
        <f t="shared" si="7"/>
        <v>154091.14000000001</v>
      </c>
      <c r="M33" s="3">
        <v>154091.14000000001</v>
      </c>
      <c r="N33" s="3">
        <f t="shared" si="5"/>
        <v>0</v>
      </c>
    </row>
    <row r="34" spans="1:14" x14ac:dyDescent="0.3">
      <c r="A34" s="2">
        <f t="shared" si="8"/>
        <v>44957</v>
      </c>
      <c r="B34" s="3">
        <f t="shared" si="6"/>
        <v>154091.14000000001</v>
      </c>
      <c r="C34" s="9"/>
      <c r="D34" s="9"/>
      <c r="E34" s="9"/>
      <c r="F34" s="9"/>
      <c r="G34" s="9"/>
      <c r="H34" s="9"/>
      <c r="I34" s="9"/>
      <c r="J34" s="9"/>
      <c r="K34" s="3">
        <f t="shared" si="7"/>
        <v>154091.14000000001</v>
      </c>
      <c r="M34" s="3">
        <v>154091.14000000001</v>
      </c>
      <c r="N34" s="3">
        <f t="shared" si="5"/>
        <v>0</v>
      </c>
    </row>
    <row r="35" spans="1:14" x14ac:dyDescent="0.3">
      <c r="A35" s="2">
        <f>+A34+28</f>
        <v>44985</v>
      </c>
      <c r="B35" s="3">
        <f t="shared" si="6"/>
        <v>154091.14000000001</v>
      </c>
      <c r="C35" s="9"/>
      <c r="D35" s="9"/>
      <c r="E35" s="9"/>
      <c r="F35" s="9"/>
      <c r="G35" s="9"/>
      <c r="H35" s="9"/>
      <c r="I35" s="9"/>
      <c r="J35" s="9"/>
      <c r="K35" s="3">
        <f t="shared" si="7"/>
        <v>154091.14000000001</v>
      </c>
      <c r="M35" s="3">
        <v>154091.14000000001</v>
      </c>
      <c r="N35" s="3">
        <f t="shared" si="5"/>
        <v>0</v>
      </c>
    </row>
    <row r="36" spans="1:14" x14ac:dyDescent="0.3">
      <c r="A36" s="2">
        <f t="shared" si="8"/>
        <v>45016</v>
      </c>
      <c r="B36" s="3">
        <f t="shared" si="6"/>
        <v>154091.14000000001</v>
      </c>
      <c r="C36" s="9"/>
      <c r="D36" s="9"/>
      <c r="E36" s="9"/>
      <c r="F36" s="9"/>
      <c r="G36" s="9"/>
      <c r="H36" s="9"/>
      <c r="I36" s="9"/>
      <c r="J36" s="9"/>
      <c r="K36" s="3">
        <f t="shared" si="7"/>
        <v>154091.14000000001</v>
      </c>
      <c r="M36" s="3">
        <v>154091.14000000001</v>
      </c>
      <c r="N36" s="3">
        <f t="shared" si="5"/>
        <v>0</v>
      </c>
    </row>
    <row r="37" spans="1:14" x14ac:dyDescent="0.3">
      <c r="A37" s="2">
        <f>+A36+30</f>
        <v>45046</v>
      </c>
      <c r="B37" s="3">
        <f t="shared" si="6"/>
        <v>154091.14000000001</v>
      </c>
      <c r="C37" s="9"/>
      <c r="D37" s="9"/>
      <c r="E37" s="9"/>
      <c r="F37" s="9"/>
      <c r="G37" s="9"/>
      <c r="H37" s="9"/>
      <c r="I37" s="9"/>
      <c r="J37" s="9"/>
      <c r="K37" s="3">
        <f t="shared" si="7"/>
        <v>154091.14000000001</v>
      </c>
      <c r="M37" s="3">
        <v>154091.14000000001</v>
      </c>
      <c r="N37" s="3">
        <f t="shared" si="5"/>
        <v>0</v>
      </c>
    </row>
    <row r="38" spans="1:14" x14ac:dyDescent="0.3">
      <c r="A38" s="2">
        <f t="shared" si="8"/>
        <v>45077</v>
      </c>
      <c r="B38" s="3">
        <f t="shared" si="6"/>
        <v>154091.14000000001</v>
      </c>
      <c r="C38" s="9"/>
      <c r="D38" s="9"/>
      <c r="E38" s="9"/>
      <c r="F38" s="9"/>
      <c r="G38" s="9"/>
      <c r="H38" s="9"/>
      <c r="I38" s="9"/>
      <c r="J38" s="9"/>
      <c r="K38" s="3">
        <f>SUM(B38:J38)</f>
        <v>154091.14000000001</v>
      </c>
      <c r="M38" s="3">
        <v>154091.14000000001</v>
      </c>
      <c r="N38" s="3">
        <f t="shared" si="5"/>
        <v>0</v>
      </c>
    </row>
    <row r="39" spans="1:14" x14ac:dyDescent="0.3">
      <c r="A39" s="2">
        <f>+A38+30</f>
        <v>45107</v>
      </c>
      <c r="B39" s="3">
        <f t="shared" si="6"/>
        <v>154091.14000000001</v>
      </c>
      <c r="C39" s="9"/>
      <c r="D39" s="9"/>
      <c r="E39" s="9"/>
      <c r="F39" s="9"/>
      <c r="G39" s="9"/>
      <c r="H39" s="9"/>
      <c r="I39" s="9"/>
      <c r="J39" s="9"/>
      <c r="K39" s="3">
        <f t="shared" si="7"/>
        <v>154091.14000000001</v>
      </c>
      <c r="M39" s="3">
        <v>154091.14000000001</v>
      </c>
      <c r="N39" s="16">
        <f t="shared" si="5"/>
        <v>0</v>
      </c>
    </row>
    <row r="40" spans="1:14" x14ac:dyDescent="0.3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4" ht="15" thickBot="1" x14ac:dyDescent="0.35">
      <c r="A41" t="s">
        <v>16</v>
      </c>
      <c r="B41" s="8">
        <f>+B28</f>
        <v>154091.14000000001</v>
      </c>
      <c r="C41" s="8">
        <f>SUM(C28:C39)</f>
        <v>0</v>
      </c>
      <c r="D41" s="8">
        <f t="shared" ref="D41:J41" si="9">SUM(D28:D39)</f>
        <v>0</v>
      </c>
      <c r="E41" s="8">
        <f t="shared" si="9"/>
        <v>0</v>
      </c>
      <c r="F41" s="8">
        <f t="shared" si="9"/>
        <v>0</v>
      </c>
      <c r="G41" s="8">
        <f t="shared" si="9"/>
        <v>0</v>
      </c>
      <c r="H41" s="8">
        <f t="shared" si="9"/>
        <v>0</v>
      </c>
      <c r="I41" s="8">
        <f t="shared" si="9"/>
        <v>0</v>
      </c>
      <c r="J41" s="8">
        <f t="shared" si="9"/>
        <v>0</v>
      </c>
      <c r="K41" s="8">
        <f>SUM(B41:J41)</f>
        <v>154091.14000000001</v>
      </c>
    </row>
    <row r="42" spans="1:14" ht="15" thickTop="1" x14ac:dyDescent="0.3"/>
    <row r="59" spans="7:7" x14ac:dyDescent="0.3">
      <c r="G59" s="24"/>
    </row>
  </sheetData>
  <pageMargins left="0.7" right="0.7" top="0.75" bottom="0.75" header="0.3" footer="0.3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PP</vt:lpstr>
      <vt:lpstr>RE </vt:lpstr>
      <vt:lpstr>RE SUPP TAX</vt:lpstr>
      <vt:lpstr>MVE</vt:lpstr>
      <vt:lpstr>Boat</vt:lpstr>
      <vt:lpstr>TT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Varney</dc:creator>
  <cp:lastModifiedBy>york37729</cp:lastModifiedBy>
  <cp:lastPrinted>2023-03-29T12:59:34Z</cp:lastPrinted>
  <dcterms:created xsi:type="dcterms:W3CDTF">2020-05-18T17:56:30Z</dcterms:created>
  <dcterms:modified xsi:type="dcterms:W3CDTF">2024-04-24T21:20:33Z</dcterms:modified>
</cp:coreProperties>
</file>