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lients\Clients18Months\A130000\A137000\A137180\SLG Consulting\FY23\AR\"/>
    </mc:Choice>
  </mc:AlternateContent>
  <xr:revisionPtr revIDLastSave="0" documentId="13_ncr:1_{7D22E4CC-60B9-4B5D-B834-4EDC0B84981C}" xr6:coauthVersionLast="47" xr6:coauthVersionMax="47" xr10:uidLastSave="{00000000-0000-0000-0000-000000000000}"/>
  <bookViews>
    <workbookView xWindow="-28920" yWindow="-120" windowWidth="29040" windowHeight="15840" tabRatio="862" activeTab="1" xr2:uid="{00000000-000D-0000-FFFF-FFFF00000000}"/>
  </bookViews>
  <sheets>
    <sheet name="Corrections COM ABT ADJ" sheetId="13" r:id="rId1"/>
    <sheet name="Corrections to make" sheetId="12" r:id="rId2"/>
    <sheet name="J108 to 118 corr" sheetId="14" r:id="rId3"/>
    <sheet name="PP" sheetId="8" r:id="rId4"/>
    <sheet name="RE " sheetId="1" r:id="rId5"/>
    <sheet name="RE SUPP TAX" sheetId="7" r:id="rId6"/>
    <sheet name="MVE" sheetId="9" r:id="rId7"/>
    <sheet name="Boat" sheetId="11" r:id="rId8"/>
    <sheet name="TT" sheetId="10" r:id="rId9"/>
  </sheets>
  <calcPr calcId="191029"/>
  <pivotCaches>
    <pivotCache cacheId="49" r:id="rId10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94" i="12" l="1"/>
  <c r="L44" i="12" l="1"/>
  <c r="L45" i="12" s="1"/>
  <c r="L41" i="12"/>
  <c r="L37" i="12"/>
  <c r="L32" i="12"/>
  <c r="L33" i="12" s="1"/>
  <c r="L29" i="12"/>
  <c r="L25" i="12"/>
  <c r="O21" i="12"/>
  <c r="L21" i="12"/>
  <c r="L17" i="12"/>
  <c r="L13" i="12"/>
  <c r="L9" i="12"/>
  <c r="H232" i="13"/>
  <c r="G202" i="13"/>
  <c r="H198" i="13"/>
  <c r="H192" i="13"/>
  <c r="H188" i="13"/>
  <c r="H184" i="13"/>
  <c r="H175" i="13"/>
  <c r="H171" i="13"/>
  <c r="H167" i="13"/>
  <c r="G158" i="13"/>
  <c r="H155" i="13"/>
  <c r="H151" i="13"/>
  <c r="G145" i="13"/>
  <c r="H142" i="13"/>
  <c r="H138" i="13"/>
  <c r="H134" i="13"/>
  <c r="H130" i="13"/>
  <c r="H126" i="13"/>
  <c r="H122" i="13"/>
  <c r="H118" i="13"/>
  <c r="H114" i="13"/>
  <c r="H110" i="13"/>
  <c r="H106" i="13"/>
  <c r="H100" i="13"/>
  <c r="H91" i="13"/>
  <c r="H87" i="13"/>
  <c r="H83" i="13"/>
  <c r="H79" i="13"/>
  <c r="H75" i="13"/>
  <c r="H71" i="13"/>
  <c r="H56" i="13"/>
  <c r="H51" i="13"/>
  <c r="H45" i="13"/>
  <c r="H41" i="13"/>
  <c r="H37" i="13"/>
  <c r="H33" i="13"/>
  <c r="H29" i="13"/>
  <c r="H22" i="13"/>
  <c r="H15" i="13"/>
  <c r="H11" i="13"/>
  <c r="H7" i="13"/>
  <c r="I168" i="9" l="1"/>
  <c r="P166" i="9"/>
  <c r="I166" i="9"/>
  <c r="K166" i="9"/>
  <c r="K168" i="9" s="1"/>
  <c r="P146" i="9"/>
  <c r="P147" i="9"/>
  <c r="P164" i="9"/>
  <c r="P167" i="9"/>
  <c r="P145" i="9"/>
  <c r="I164" i="9"/>
  <c r="I165" i="9"/>
  <c r="P165" i="9" s="1"/>
  <c r="H106" i="12"/>
  <c r="H112" i="12"/>
  <c r="H99" i="12"/>
  <c r="H95" i="12"/>
  <c r="H77" i="12" l="1"/>
  <c r="H73" i="12"/>
  <c r="H66" i="12"/>
  <c r="H62" i="12"/>
  <c r="H54" i="12"/>
  <c r="H50" i="12"/>
  <c r="H44" i="12"/>
  <c r="H40" i="12"/>
  <c r="H36" i="12"/>
  <c r="H32" i="12"/>
  <c r="H28" i="12"/>
  <c r="H24" i="12"/>
  <c r="H20" i="12"/>
  <c r="H16" i="12"/>
  <c r="H12" i="12"/>
  <c r="H8" i="12"/>
  <c r="S90" i="9"/>
  <c r="S47" i="9"/>
  <c r="S57" i="9" l="1"/>
  <c r="S29" i="9"/>
  <c r="M46" i="9" l="1"/>
  <c r="M87" i="9"/>
  <c r="M88" i="9" s="1"/>
  <c r="M89" i="9" s="1"/>
  <c r="M90" i="9" s="1"/>
  <c r="M91" i="9" s="1"/>
  <c r="M92" i="9" s="1"/>
  <c r="M93" i="9" s="1"/>
  <c r="M94" i="9" s="1"/>
  <c r="M95" i="9" s="1"/>
  <c r="M96" i="9" s="1"/>
  <c r="M68" i="9"/>
  <c r="M69" i="9" s="1"/>
  <c r="M70" i="9" s="1"/>
  <c r="M71" i="9" s="1"/>
  <c r="M72" i="9" s="1"/>
  <c r="M73" i="9" s="1"/>
  <c r="M74" i="9" s="1"/>
  <c r="M75" i="9" s="1"/>
  <c r="M76" i="9" s="1"/>
  <c r="M67" i="9"/>
  <c r="M47" i="9"/>
  <c r="M48" i="9" s="1"/>
  <c r="M49" i="9" s="1"/>
  <c r="M50" i="9" s="1"/>
  <c r="M51" i="9" s="1"/>
  <c r="M52" i="9" s="1"/>
  <c r="M53" i="9" s="1"/>
  <c r="M54" i="9" s="1"/>
  <c r="M55" i="9" s="1"/>
  <c r="M56" i="9" s="1"/>
  <c r="O15" i="9"/>
  <c r="M29" i="9"/>
  <c r="M30" i="9" s="1"/>
  <c r="M31" i="9" s="1"/>
  <c r="M32" i="9" s="1"/>
  <c r="M33" i="9" s="1"/>
  <c r="M34" i="9" s="1"/>
  <c r="M35" i="9" s="1"/>
  <c r="M36" i="9" s="1"/>
  <c r="M37" i="9" s="1"/>
  <c r="M28" i="9"/>
  <c r="M16" i="9"/>
  <c r="M17" i="9" s="1"/>
  <c r="M18" i="9" s="1"/>
  <c r="M107" i="9" l="1"/>
  <c r="M108" i="9" s="1"/>
  <c r="M109" i="9" s="1"/>
  <c r="M110" i="9" s="1"/>
  <c r="M111" i="9" s="1"/>
  <c r="M112" i="9" s="1"/>
  <c r="M113" i="9" s="1"/>
  <c r="M114" i="9" s="1"/>
  <c r="M115" i="9" s="1"/>
  <c r="M116" i="9" s="1"/>
  <c r="M117" i="9" s="1"/>
  <c r="I149" i="9"/>
  <c r="P149" i="9" s="1"/>
  <c r="I150" i="9"/>
  <c r="P150" i="9" s="1"/>
  <c r="I151" i="9"/>
  <c r="P151" i="9" s="1"/>
  <c r="I152" i="9"/>
  <c r="P152" i="9" s="1"/>
  <c r="I153" i="9"/>
  <c r="P153" i="9" s="1"/>
  <c r="I154" i="9"/>
  <c r="P154" i="9" s="1"/>
  <c r="I155" i="9"/>
  <c r="P155" i="9" s="1"/>
  <c r="I156" i="9"/>
  <c r="P156" i="9" s="1"/>
  <c r="I157" i="9"/>
  <c r="P157" i="9" s="1"/>
  <c r="I158" i="9"/>
  <c r="P158" i="9" s="1"/>
  <c r="I159" i="9"/>
  <c r="P159" i="9" s="1"/>
  <c r="I160" i="9"/>
  <c r="P160" i="9" s="1"/>
  <c r="I161" i="9"/>
  <c r="P161" i="9" s="1"/>
  <c r="I162" i="9"/>
  <c r="P162" i="9" s="1"/>
  <c r="I163" i="9"/>
  <c r="P163" i="9" s="1"/>
  <c r="I148" i="9"/>
  <c r="P148" i="9" s="1"/>
  <c r="K8" i="11"/>
  <c r="N8" i="11" s="1"/>
  <c r="K9" i="11"/>
  <c r="N9" i="11" s="1"/>
  <c r="K10" i="11"/>
  <c r="N10" i="11" s="1"/>
  <c r="K11" i="11"/>
  <c r="N11" i="11" s="1"/>
  <c r="K12" i="11"/>
  <c r="N12" i="11" s="1"/>
  <c r="K13" i="11"/>
  <c r="N13" i="11" s="1"/>
  <c r="M28" i="11"/>
  <c r="D28" i="11"/>
  <c r="E28" i="11"/>
  <c r="F28" i="11"/>
  <c r="G28" i="11"/>
  <c r="H28" i="11"/>
  <c r="I28" i="11"/>
  <c r="J28" i="11"/>
  <c r="C28" i="11"/>
  <c r="K25" i="11"/>
  <c r="N25" i="11" s="1"/>
  <c r="K26" i="11"/>
  <c r="K24" i="11"/>
  <c r="K23" i="11"/>
  <c r="K22" i="11"/>
  <c r="N22" i="11" s="1"/>
  <c r="K21" i="11"/>
  <c r="K20" i="11"/>
  <c r="N20" i="11" s="1"/>
  <c r="K19" i="11"/>
  <c r="N19" i="11" s="1"/>
  <c r="K18" i="11"/>
  <c r="N18" i="11" s="1"/>
  <c r="K17" i="11"/>
  <c r="N17" i="11" s="1"/>
  <c r="K16" i="11"/>
  <c r="N16" i="11" s="1"/>
  <c r="K15" i="11"/>
  <c r="K14" i="11"/>
  <c r="Q36" i="8"/>
  <c r="Q22" i="8"/>
  <c r="M8" i="8"/>
  <c r="K28" i="11" l="1"/>
  <c r="N21" i="11"/>
  <c r="N23" i="11"/>
  <c r="N24" i="11"/>
  <c r="N26" i="11"/>
  <c r="N14" i="11"/>
  <c r="N15" i="11"/>
  <c r="S19" i="1"/>
  <c r="N28" i="11" l="1"/>
  <c r="M9" i="7"/>
  <c r="M10" i="7" s="1"/>
  <c r="M11" i="7" s="1"/>
  <c r="M12" i="7" s="1"/>
  <c r="M13" i="7" s="1"/>
  <c r="M14" i="7" s="1"/>
  <c r="M15" i="7" s="1"/>
  <c r="M16" i="7" s="1"/>
  <c r="M8" i="7"/>
  <c r="I19" i="1"/>
  <c r="I15" i="1"/>
  <c r="I14" i="1"/>
  <c r="S32" i="1"/>
  <c r="D31" i="1"/>
  <c r="D30" i="1"/>
  <c r="I27" i="1"/>
  <c r="M19" i="1"/>
  <c r="M18" i="1"/>
  <c r="M17" i="1"/>
  <c r="M16" i="1"/>
  <c r="M15" i="1"/>
  <c r="M14" i="1"/>
  <c r="M13" i="1"/>
  <c r="M12" i="1"/>
  <c r="M11" i="1"/>
  <c r="M10" i="1"/>
  <c r="M9" i="1"/>
  <c r="M37" i="1"/>
  <c r="M36" i="1"/>
  <c r="M35" i="1"/>
  <c r="M34" i="1"/>
  <c r="M33" i="1"/>
  <c r="M32" i="1"/>
  <c r="M31" i="1"/>
  <c r="M30" i="1"/>
  <c r="M29" i="1"/>
  <c r="M28" i="1"/>
  <c r="M27" i="1"/>
  <c r="M55" i="1"/>
  <c r="M54" i="1"/>
  <c r="M53" i="1"/>
  <c r="M52" i="1"/>
  <c r="M51" i="1"/>
  <c r="M50" i="1"/>
  <c r="M49" i="1"/>
  <c r="M48" i="1"/>
  <c r="M47" i="1"/>
  <c r="M46" i="1"/>
  <c r="M45" i="1"/>
  <c r="M71" i="1"/>
  <c r="M72" i="1"/>
  <c r="M73" i="1" s="1"/>
  <c r="M70" i="1"/>
  <c r="M67" i="1"/>
  <c r="M68" i="1" s="1"/>
  <c r="M69" i="1" s="1"/>
  <c r="M66" i="1"/>
  <c r="M65" i="1"/>
  <c r="M64" i="1"/>
  <c r="M63" i="1"/>
  <c r="M89" i="1"/>
  <c r="M90" i="1" s="1"/>
  <c r="M91" i="1" s="1"/>
  <c r="M88" i="1"/>
  <c r="M82" i="1"/>
  <c r="M83" i="1" s="1"/>
  <c r="M84" i="1" s="1"/>
  <c r="M85" i="1" s="1"/>
  <c r="M86" i="1" s="1"/>
  <c r="M87" i="1" s="1"/>
  <c r="M81" i="1"/>
  <c r="M100" i="1"/>
  <c r="M101" i="1" s="1"/>
  <c r="M102" i="1" s="1"/>
  <c r="M103" i="1" s="1"/>
  <c r="M104" i="1" s="1"/>
  <c r="M105" i="1" s="1"/>
  <c r="M106" i="1" s="1"/>
  <c r="M107" i="1" s="1"/>
  <c r="M99" i="1"/>
  <c r="M127" i="1"/>
  <c r="M118" i="1"/>
  <c r="M119" i="1" s="1"/>
  <c r="M120" i="1" s="1"/>
  <c r="M121" i="1" s="1"/>
  <c r="M122" i="1" s="1"/>
  <c r="M123" i="1" s="1"/>
  <c r="M124" i="1" s="1"/>
  <c r="M125" i="1" s="1"/>
  <c r="M117" i="1"/>
  <c r="M9" i="8"/>
  <c r="M10" i="8" s="1"/>
  <c r="M11" i="8" s="1"/>
  <c r="M12" i="8" s="1"/>
  <c r="M13" i="8" s="1"/>
  <c r="M14" i="8" s="1"/>
  <c r="M15" i="8" s="1"/>
  <c r="M16" i="8" s="1"/>
  <c r="M17" i="8" s="1"/>
  <c r="M18" i="8" s="1"/>
  <c r="M27" i="8"/>
  <c r="M28" i="8" s="1"/>
  <c r="M29" i="8" s="1"/>
  <c r="M30" i="8" s="1"/>
  <c r="M31" i="8" s="1"/>
  <c r="M32" i="8" s="1"/>
  <c r="M33" i="8" s="1"/>
  <c r="M34" i="8" s="1"/>
  <c r="M35" i="8" s="1"/>
  <c r="M36" i="8" s="1"/>
  <c r="M37" i="8" s="1"/>
  <c r="M38" i="8" s="1"/>
  <c r="M48" i="8"/>
  <c r="M49" i="8" s="1"/>
  <c r="M50" i="8" s="1"/>
  <c r="M51" i="8" s="1"/>
  <c r="M52" i="8" s="1"/>
  <c r="M53" i="8" s="1"/>
  <c r="M54" i="8" s="1"/>
  <c r="M55" i="8" s="1"/>
  <c r="M56" i="8" s="1"/>
  <c r="M57" i="8" s="1"/>
  <c r="M47" i="8"/>
  <c r="M66" i="8"/>
  <c r="M67" i="8" s="1"/>
  <c r="M68" i="8" s="1"/>
  <c r="M69" i="8" s="1"/>
  <c r="M70" i="8" s="1"/>
  <c r="M71" i="8" s="1"/>
  <c r="M72" i="8" s="1"/>
  <c r="M73" i="8" s="1"/>
  <c r="M74" i="8" s="1"/>
  <c r="M75" i="8" s="1"/>
  <c r="M76" i="8" s="1"/>
  <c r="M85" i="8"/>
  <c r="M86" i="8"/>
  <c r="M87" i="8" s="1"/>
  <c r="M88" i="8" s="1"/>
  <c r="M89" i="8" s="1"/>
  <c r="M90" i="8" s="1"/>
  <c r="M91" i="8" s="1"/>
  <c r="M92" i="8" s="1"/>
  <c r="M93" i="8" s="1"/>
  <c r="M94" i="8" s="1"/>
  <c r="M95" i="8" s="1"/>
  <c r="K56" i="1"/>
  <c r="B44" i="1"/>
  <c r="J20" i="7"/>
  <c r="I20" i="7"/>
  <c r="H20" i="7"/>
  <c r="G20" i="7"/>
  <c r="F20" i="7"/>
  <c r="E20" i="7"/>
  <c r="D20" i="7"/>
  <c r="C20" i="7"/>
  <c r="B20" i="7"/>
  <c r="A8" i="7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K7" i="7"/>
  <c r="B8" i="7" s="1"/>
  <c r="K8" i="7" s="1"/>
  <c r="G18" i="8"/>
  <c r="M168" i="9"/>
  <c r="K165" i="9"/>
  <c r="N165" i="9" s="1"/>
  <c r="K164" i="9"/>
  <c r="N164" i="9" s="1"/>
  <c r="K163" i="9"/>
  <c r="N163" i="9" s="1"/>
  <c r="K162" i="9"/>
  <c r="N162" i="9" s="1"/>
  <c r="K161" i="9"/>
  <c r="N161" i="9" s="1"/>
  <c r="K160" i="9"/>
  <c r="N160" i="9" s="1"/>
  <c r="K159" i="9"/>
  <c r="N159" i="9" s="1"/>
  <c r="K158" i="9"/>
  <c r="N158" i="9" s="1"/>
  <c r="K157" i="9"/>
  <c r="N157" i="9" s="1"/>
  <c r="K156" i="9"/>
  <c r="N156" i="9" s="1"/>
  <c r="K155" i="9"/>
  <c r="N155" i="9" s="1"/>
  <c r="S69" i="9"/>
  <c r="J128" i="1"/>
  <c r="I128" i="1"/>
  <c r="H128" i="1"/>
  <c r="G128" i="1"/>
  <c r="F128" i="1"/>
  <c r="E128" i="1"/>
  <c r="D128" i="1"/>
  <c r="C128" i="1"/>
  <c r="B128" i="1"/>
  <c r="A117" i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K116" i="1"/>
  <c r="N116" i="1" s="1"/>
  <c r="J110" i="1"/>
  <c r="I110" i="1"/>
  <c r="H110" i="1"/>
  <c r="G110" i="1"/>
  <c r="F110" i="1"/>
  <c r="E110" i="1"/>
  <c r="D110" i="1"/>
  <c r="C110" i="1"/>
  <c r="B110" i="1"/>
  <c r="A99" i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K98" i="1"/>
  <c r="N98" i="1" s="1"/>
  <c r="T47" i="1"/>
  <c r="S26" i="1"/>
  <c r="K20" i="7" l="1"/>
  <c r="B9" i="7"/>
  <c r="K9" i="7" s="1"/>
  <c r="N8" i="7"/>
  <c r="N7" i="7"/>
  <c r="B117" i="1"/>
  <c r="K117" i="1" s="1"/>
  <c r="B99" i="1"/>
  <c r="K99" i="1" s="1"/>
  <c r="B10" i="7" l="1"/>
  <c r="K10" i="7" s="1"/>
  <c r="N9" i="7"/>
  <c r="B118" i="1"/>
  <c r="K118" i="1" s="1"/>
  <c r="N117" i="1"/>
  <c r="B100" i="1"/>
  <c r="K100" i="1" s="1"/>
  <c r="N99" i="1"/>
  <c r="B11" i="7" l="1"/>
  <c r="K11" i="7" s="1"/>
  <c r="N10" i="7"/>
  <c r="B119" i="1"/>
  <c r="K119" i="1" s="1"/>
  <c r="N118" i="1"/>
  <c r="B101" i="1"/>
  <c r="K101" i="1" s="1"/>
  <c r="N100" i="1"/>
  <c r="B12" i="7" l="1"/>
  <c r="K12" i="7" s="1"/>
  <c r="N11" i="7"/>
  <c r="B120" i="1"/>
  <c r="K120" i="1" s="1"/>
  <c r="N119" i="1"/>
  <c r="B102" i="1"/>
  <c r="K102" i="1" s="1"/>
  <c r="N101" i="1"/>
  <c r="B13" i="7" l="1"/>
  <c r="K13" i="7" s="1"/>
  <c r="N12" i="7"/>
  <c r="N120" i="1"/>
  <c r="B121" i="1"/>
  <c r="K121" i="1" s="1"/>
  <c r="N102" i="1"/>
  <c r="B103" i="1"/>
  <c r="K103" i="1" s="1"/>
  <c r="B14" i="7" l="1"/>
  <c r="K14" i="7" s="1"/>
  <c r="N13" i="7"/>
  <c r="B122" i="1"/>
  <c r="K122" i="1" s="1"/>
  <c r="N121" i="1"/>
  <c r="B104" i="1"/>
  <c r="K104" i="1" s="1"/>
  <c r="N103" i="1"/>
  <c r="B15" i="7" l="1"/>
  <c r="K15" i="7" s="1"/>
  <c r="N14" i="7"/>
  <c r="B123" i="1"/>
  <c r="K123" i="1" s="1"/>
  <c r="N122" i="1"/>
  <c r="B105" i="1"/>
  <c r="K105" i="1" s="1"/>
  <c r="N104" i="1"/>
  <c r="B16" i="7" l="1"/>
  <c r="K16" i="7" s="1"/>
  <c r="N15" i="7"/>
  <c r="B124" i="1"/>
  <c r="K124" i="1" s="1"/>
  <c r="N123" i="1"/>
  <c r="B106" i="1"/>
  <c r="K106" i="1" s="1"/>
  <c r="N105" i="1"/>
  <c r="B17" i="7" l="1"/>
  <c r="K17" i="7" s="1"/>
  <c r="N16" i="7"/>
  <c r="N124" i="1"/>
  <c r="B125" i="1"/>
  <c r="K125" i="1" s="1"/>
  <c r="B107" i="1"/>
  <c r="K107" i="1" s="1"/>
  <c r="N106" i="1"/>
  <c r="B18" i="7" l="1"/>
  <c r="K18" i="7" s="1"/>
  <c r="N18" i="7" s="1"/>
  <c r="N17" i="7"/>
  <c r="B126" i="1"/>
  <c r="K126" i="1" s="1"/>
  <c r="N125" i="1"/>
  <c r="B108" i="1"/>
  <c r="K108" i="1" s="1"/>
  <c r="N107" i="1"/>
  <c r="N126" i="1" l="1"/>
  <c r="B127" i="1"/>
  <c r="K127" i="1" s="1"/>
  <c r="N108" i="1"/>
  <c r="B109" i="1"/>
  <c r="K109" i="1" s="1"/>
  <c r="K128" i="1" l="1"/>
  <c r="N127" i="1"/>
  <c r="K110" i="1"/>
  <c r="N109" i="1"/>
  <c r="D99" i="9" l="1"/>
  <c r="A29" i="10" l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127" i="9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07" i="9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87" i="9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67" i="9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47" i="9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28" i="9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J21" i="9"/>
  <c r="I21" i="9"/>
  <c r="S10" i="9" s="1"/>
  <c r="H21" i="9"/>
  <c r="G21" i="9"/>
  <c r="S9" i="9" s="1"/>
  <c r="F21" i="9"/>
  <c r="E21" i="9"/>
  <c r="D21" i="9"/>
  <c r="C21" i="9"/>
  <c r="S8" i="9" s="1"/>
  <c r="S13" i="9" s="1"/>
  <c r="A9" i="9"/>
  <c r="A10" i="9" s="1"/>
  <c r="A11" i="9" s="1"/>
  <c r="A12" i="9" s="1"/>
  <c r="A13" i="9" s="1"/>
  <c r="A14" i="9" s="1"/>
  <c r="A15" i="9" s="1"/>
  <c r="K8" i="9"/>
  <c r="B9" i="9" s="1"/>
  <c r="K9" i="9" s="1"/>
  <c r="A81" i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63" i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45" i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27" i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J20" i="1"/>
  <c r="I20" i="1"/>
  <c r="H20" i="1"/>
  <c r="G20" i="1"/>
  <c r="F20" i="1"/>
  <c r="E20" i="1"/>
  <c r="D20" i="1"/>
  <c r="C20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K8" i="1"/>
  <c r="B9" i="1" s="1"/>
  <c r="K9" i="1" s="1"/>
  <c r="A123" i="8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05" i="8"/>
  <c r="A106" i="8" s="1"/>
  <c r="A107" i="8" s="1"/>
  <c r="A108" i="8" s="1"/>
  <c r="A109" i="8" s="1"/>
  <c r="A110" i="8" s="1"/>
  <c r="A111" i="8" s="1"/>
  <c r="A112" i="8" s="1"/>
  <c r="A113" i="8" s="1"/>
  <c r="A114" i="8" s="1"/>
  <c r="A104" i="8"/>
  <c r="A85" i="8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66" i="8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47" i="8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28" i="8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J20" i="8"/>
  <c r="I20" i="8"/>
  <c r="H20" i="8"/>
  <c r="G20" i="8"/>
  <c r="F20" i="8"/>
  <c r="E20" i="8"/>
  <c r="D20" i="8"/>
  <c r="C20" i="8"/>
  <c r="A8" i="8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K7" i="8"/>
  <c r="B8" i="8" s="1"/>
  <c r="K8" i="8" s="1"/>
  <c r="N8" i="8" s="1"/>
  <c r="A16" i="9" l="1"/>
  <c r="A17" i="9" s="1"/>
  <c r="A18" i="9" s="1"/>
  <c r="A19" i="9" s="1"/>
  <c r="N8" i="9"/>
  <c r="K20" i="8"/>
  <c r="K20" i="1"/>
  <c r="B10" i="9"/>
  <c r="K10" i="9" s="1"/>
  <c r="N9" i="9"/>
  <c r="N9" i="1"/>
  <c r="B10" i="1"/>
  <c r="K10" i="1" s="1"/>
  <c r="N8" i="1"/>
  <c r="B9" i="8"/>
  <c r="K9" i="8" s="1"/>
  <c r="N9" i="8" s="1"/>
  <c r="N7" i="8"/>
  <c r="O9" i="1" l="1"/>
  <c r="N10" i="9"/>
  <c r="B11" i="9"/>
  <c r="K11" i="9" s="1"/>
  <c r="B11" i="1"/>
  <c r="K11" i="1" s="1"/>
  <c r="N10" i="1"/>
  <c r="O10" i="1" s="1"/>
  <c r="B10" i="8"/>
  <c r="K10" i="8" s="1"/>
  <c r="B12" i="9" l="1"/>
  <c r="K12" i="9" s="1"/>
  <c r="N11" i="9"/>
  <c r="N11" i="1"/>
  <c r="B12" i="1"/>
  <c r="K12" i="1" s="1"/>
  <c r="B11" i="8"/>
  <c r="K11" i="8" s="1"/>
  <c r="N10" i="8"/>
  <c r="B13" i="9" l="1"/>
  <c r="K13" i="9" s="1"/>
  <c r="N12" i="9"/>
  <c r="B13" i="1"/>
  <c r="K13" i="1" s="1"/>
  <c r="N12" i="1"/>
  <c r="O12" i="1" s="1"/>
  <c r="O11" i="1"/>
  <c r="B12" i="8"/>
  <c r="K12" i="8" s="1"/>
  <c r="N11" i="8"/>
  <c r="N13" i="9" l="1"/>
  <c r="B14" i="9"/>
  <c r="K14" i="9" s="1"/>
  <c r="B14" i="1"/>
  <c r="K14" i="1" s="1"/>
  <c r="N13" i="1"/>
  <c r="N12" i="8"/>
  <c r="B13" i="8"/>
  <c r="K13" i="8" s="1"/>
  <c r="N14" i="9" l="1"/>
  <c r="B15" i="9"/>
  <c r="K15" i="9" s="1"/>
  <c r="N14" i="1"/>
  <c r="O14" i="1" s="1"/>
  <c r="B15" i="1"/>
  <c r="K15" i="1" s="1"/>
  <c r="O13" i="1"/>
  <c r="B14" i="8"/>
  <c r="K14" i="8" s="1"/>
  <c r="N13" i="8"/>
  <c r="N15" i="9" l="1"/>
  <c r="B16" i="9"/>
  <c r="K16" i="9" s="1"/>
  <c r="B16" i="1"/>
  <c r="K16" i="1" s="1"/>
  <c r="N15" i="1"/>
  <c r="N14" i="8"/>
  <c r="B15" i="8"/>
  <c r="K15" i="8" s="1"/>
  <c r="N16" i="9" l="1"/>
  <c r="O16" i="9" s="1"/>
  <c r="B17" i="9"/>
  <c r="K17" i="9" s="1"/>
  <c r="O15" i="1"/>
  <c r="B17" i="1"/>
  <c r="K17" i="1" s="1"/>
  <c r="N16" i="1"/>
  <c r="B16" i="8"/>
  <c r="K16" i="8" s="1"/>
  <c r="N15" i="8"/>
  <c r="N17" i="9" l="1"/>
  <c r="O17" i="9" s="1"/>
  <c r="B18" i="9"/>
  <c r="K18" i="9" s="1"/>
  <c r="N17" i="1"/>
  <c r="O17" i="1" s="1"/>
  <c r="B18" i="1"/>
  <c r="K18" i="1" s="1"/>
  <c r="O16" i="1"/>
  <c r="B17" i="8"/>
  <c r="K17" i="8" s="1"/>
  <c r="N16" i="8"/>
  <c r="B19" i="9" l="1"/>
  <c r="K19" i="9" s="1"/>
  <c r="N18" i="9"/>
  <c r="O18" i="9" s="1"/>
  <c r="B19" i="1"/>
  <c r="K19" i="1" s="1"/>
  <c r="N19" i="1" s="1"/>
  <c r="N18" i="1"/>
  <c r="B18" i="8"/>
  <c r="K18" i="8" s="1"/>
  <c r="N18" i="8" s="1"/>
  <c r="N17" i="8"/>
  <c r="N19" i="9" l="1"/>
  <c r="K21" i="9"/>
  <c r="O19" i="9" l="1"/>
  <c r="S15" i="9"/>
  <c r="A9" i="10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J40" i="9" l="1"/>
  <c r="I40" i="9"/>
  <c r="H40" i="9"/>
  <c r="G40" i="9"/>
  <c r="S30" i="9" s="1"/>
  <c r="S38" i="9" s="1"/>
  <c r="F40" i="9"/>
  <c r="E40" i="9"/>
  <c r="D40" i="9"/>
  <c r="C40" i="9"/>
  <c r="K27" i="9"/>
  <c r="B28" i="9" s="1"/>
  <c r="K28" i="9" s="1"/>
  <c r="J38" i="1"/>
  <c r="H38" i="1"/>
  <c r="G38" i="1"/>
  <c r="F38" i="1"/>
  <c r="C38" i="1"/>
  <c r="E38" i="1"/>
  <c r="D38" i="1"/>
  <c r="I38" i="1"/>
  <c r="K26" i="1"/>
  <c r="J40" i="8"/>
  <c r="I40" i="8"/>
  <c r="H40" i="8"/>
  <c r="G40" i="8"/>
  <c r="F40" i="8"/>
  <c r="E40" i="8"/>
  <c r="C40" i="8"/>
  <c r="D40" i="8"/>
  <c r="K27" i="8"/>
  <c r="B28" i="8" s="1"/>
  <c r="K28" i="8" s="1"/>
  <c r="B27" i="1" l="1"/>
  <c r="K27" i="1" s="1"/>
  <c r="B28" i="1" s="1"/>
  <c r="K28" i="1" s="1"/>
  <c r="N26" i="1"/>
  <c r="K38" i="1"/>
  <c r="N28" i="9"/>
  <c r="B29" i="9"/>
  <c r="K29" i="9" s="1"/>
  <c r="N27" i="9"/>
  <c r="O27" i="9" s="1"/>
  <c r="B29" i="8"/>
  <c r="K29" i="8" s="1"/>
  <c r="N28" i="8"/>
  <c r="N27" i="8"/>
  <c r="O28" i="9" l="1"/>
  <c r="N27" i="1"/>
  <c r="O27" i="1" s="1"/>
  <c r="B30" i="9"/>
  <c r="K30" i="9" s="1"/>
  <c r="N29" i="9"/>
  <c r="O29" i="9" s="1"/>
  <c r="B29" i="1"/>
  <c r="K29" i="1" s="1"/>
  <c r="N28" i="1"/>
  <c r="O28" i="1" s="1"/>
  <c r="B30" i="8"/>
  <c r="K30" i="8" s="1"/>
  <c r="N29" i="8"/>
  <c r="N30" i="9" l="1"/>
  <c r="O30" i="9" s="1"/>
  <c r="B31" i="9"/>
  <c r="K31" i="9" s="1"/>
  <c r="N29" i="1"/>
  <c r="B30" i="1"/>
  <c r="K30" i="1" s="1"/>
  <c r="N30" i="1" s="1"/>
  <c r="B31" i="8"/>
  <c r="K31" i="8" s="1"/>
  <c r="N30" i="8"/>
  <c r="O29" i="1" l="1"/>
  <c r="O30" i="1"/>
  <c r="B32" i="9"/>
  <c r="K32" i="9" s="1"/>
  <c r="N31" i="9"/>
  <c r="O31" i="9" s="1"/>
  <c r="B31" i="1"/>
  <c r="K31" i="1" s="1"/>
  <c r="N31" i="1" s="1"/>
  <c r="B32" i="8"/>
  <c r="K32" i="8" s="1"/>
  <c r="N31" i="8"/>
  <c r="O31" i="1" l="1"/>
  <c r="B33" i="9"/>
  <c r="K33" i="9" s="1"/>
  <c r="N32" i="9"/>
  <c r="O32" i="9" s="1"/>
  <c r="B32" i="1"/>
  <c r="K32" i="1" s="1"/>
  <c r="N32" i="1" s="1"/>
  <c r="O32" i="1" s="1"/>
  <c r="B33" i="8"/>
  <c r="K33" i="8" s="1"/>
  <c r="N32" i="8"/>
  <c r="N33" i="9" l="1"/>
  <c r="O33" i="9" s="1"/>
  <c r="B34" i="9"/>
  <c r="K34" i="9" s="1"/>
  <c r="B33" i="1"/>
  <c r="K33" i="1" s="1"/>
  <c r="N33" i="1" s="1"/>
  <c r="B34" i="8"/>
  <c r="K34" i="8" s="1"/>
  <c r="N33" i="8"/>
  <c r="O33" i="1" l="1"/>
  <c r="B35" i="9"/>
  <c r="K35" i="9" s="1"/>
  <c r="N34" i="9"/>
  <c r="O34" i="9" s="1"/>
  <c r="B34" i="1"/>
  <c r="K34" i="1" s="1"/>
  <c r="N34" i="1" s="1"/>
  <c r="O34" i="1" s="1"/>
  <c r="B35" i="8"/>
  <c r="K35" i="8" s="1"/>
  <c r="N34" i="8"/>
  <c r="B36" i="9" l="1"/>
  <c r="K36" i="9" s="1"/>
  <c r="N35" i="9"/>
  <c r="O35" i="9" s="1"/>
  <c r="B35" i="1"/>
  <c r="K35" i="1" s="1"/>
  <c r="N35" i="1" s="1"/>
  <c r="B36" i="8"/>
  <c r="K36" i="8" s="1"/>
  <c r="N35" i="8"/>
  <c r="O35" i="1" l="1"/>
  <c r="N36" i="9"/>
  <c r="O36" i="9" s="1"/>
  <c r="B37" i="9"/>
  <c r="K37" i="9" s="1"/>
  <c r="B36" i="1"/>
  <c r="K36" i="1" s="1"/>
  <c r="B37" i="8"/>
  <c r="K37" i="8" s="1"/>
  <c r="N36" i="8"/>
  <c r="N37" i="9" l="1"/>
  <c r="O37" i="9" s="1"/>
  <c r="B38" i="9"/>
  <c r="K38" i="9" s="1"/>
  <c r="B37" i="1"/>
  <c r="K37" i="1" s="1"/>
  <c r="N37" i="1" s="1"/>
  <c r="N36" i="1"/>
  <c r="B38" i="8"/>
  <c r="K38" i="8" s="1"/>
  <c r="N37" i="8"/>
  <c r="K46" i="8"/>
  <c r="N38" i="8" l="1"/>
  <c r="K40" i="8"/>
  <c r="N38" i="9"/>
  <c r="K40" i="9"/>
  <c r="O38" i="9" l="1"/>
  <c r="S40" i="9"/>
  <c r="Q38" i="8"/>
  <c r="K145" i="9"/>
  <c r="N145" i="9" s="1"/>
  <c r="B41" i="10" l="1"/>
  <c r="C139" i="9"/>
  <c r="C119" i="9"/>
  <c r="B92" i="1" l="1"/>
  <c r="B74" i="1" l="1"/>
  <c r="B97" i="8"/>
  <c r="B116" i="8"/>
  <c r="B135" i="8"/>
  <c r="J21" i="10" l="1"/>
  <c r="I21" i="10"/>
  <c r="H21" i="10"/>
  <c r="G21" i="10"/>
  <c r="F21" i="10"/>
  <c r="E21" i="10"/>
  <c r="C21" i="10"/>
  <c r="B21" i="10"/>
  <c r="K8" i="10"/>
  <c r="N8" i="10" s="1"/>
  <c r="C41" i="10" l="1"/>
  <c r="D21" i="10"/>
  <c r="K21" i="10" s="1"/>
  <c r="F41" i="10"/>
  <c r="E41" i="10"/>
  <c r="K28" i="10"/>
  <c r="N28" i="10" s="1"/>
  <c r="J41" i="10"/>
  <c r="G41" i="10"/>
  <c r="I41" i="10"/>
  <c r="H41" i="10"/>
  <c r="D41" i="10"/>
  <c r="B9" i="10"/>
  <c r="K9" i="10" s="1"/>
  <c r="J59" i="9"/>
  <c r="I59" i="9"/>
  <c r="H59" i="9"/>
  <c r="G59" i="9"/>
  <c r="F59" i="9"/>
  <c r="E59" i="9"/>
  <c r="D59" i="9"/>
  <c r="C59" i="9"/>
  <c r="K46" i="9"/>
  <c r="B47" i="9" s="1"/>
  <c r="K47" i="9" s="1"/>
  <c r="B29" i="10" l="1"/>
  <c r="K29" i="10" s="1"/>
  <c r="N29" i="10" s="1"/>
  <c r="K41" i="10"/>
  <c r="B10" i="10"/>
  <c r="K10" i="10" s="1"/>
  <c r="N9" i="10"/>
  <c r="N47" i="9"/>
  <c r="B48" i="9"/>
  <c r="K48" i="9" s="1"/>
  <c r="N46" i="9"/>
  <c r="O46" i="9" s="1"/>
  <c r="J59" i="8"/>
  <c r="H59" i="8"/>
  <c r="G59" i="8"/>
  <c r="F59" i="8"/>
  <c r="E59" i="8"/>
  <c r="D59" i="8"/>
  <c r="C59" i="8"/>
  <c r="I59" i="8"/>
  <c r="B47" i="8"/>
  <c r="K47" i="8" s="1"/>
  <c r="O47" i="9" l="1"/>
  <c r="B30" i="10"/>
  <c r="K30" i="10" s="1"/>
  <c r="N30" i="10" s="1"/>
  <c r="N10" i="10"/>
  <c r="B11" i="10"/>
  <c r="K11" i="10" s="1"/>
  <c r="B49" i="9"/>
  <c r="K49" i="9" s="1"/>
  <c r="N48" i="9"/>
  <c r="B48" i="8"/>
  <c r="K48" i="8" s="1"/>
  <c r="N47" i="8"/>
  <c r="N46" i="8"/>
  <c r="K44" i="1"/>
  <c r="B45" i="1" s="1"/>
  <c r="K45" i="1" s="1"/>
  <c r="N45" i="1" s="1"/>
  <c r="J56" i="1"/>
  <c r="I56" i="1"/>
  <c r="H56" i="1"/>
  <c r="G56" i="1"/>
  <c r="F56" i="1"/>
  <c r="E56" i="1"/>
  <c r="D56" i="1"/>
  <c r="C56" i="1"/>
  <c r="O48" i="9" l="1"/>
  <c r="B31" i="10"/>
  <c r="K31" i="10" s="1"/>
  <c r="N31" i="10" s="1"/>
  <c r="B12" i="10"/>
  <c r="K12" i="10" s="1"/>
  <c r="N11" i="10"/>
  <c r="N49" i="9"/>
  <c r="B50" i="9"/>
  <c r="K50" i="9" s="1"/>
  <c r="B49" i="8"/>
  <c r="K49" i="8" s="1"/>
  <c r="N48" i="8"/>
  <c r="B46" i="1"/>
  <c r="K46" i="1" s="1"/>
  <c r="N44" i="1"/>
  <c r="O45" i="1" s="1"/>
  <c r="O49" i="9" l="1"/>
  <c r="B32" i="10"/>
  <c r="K32" i="10" s="1"/>
  <c r="N32" i="10" s="1"/>
  <c r="N12" i="10"/>
  <c r="B13" i="10"/>
  <c r="K13" i="10" s="1"/>
  <c r="B51" i="9"/>
  <c r="K51" i="9" s="1"/>
  <c r="N50" i="9"/>
  <c r="N49" i="8"/>
  <c r="B50" i="8"/>
  <c r="K50" i="8" s="1"/>
  <c r="B47" i="1"/>
  <c r="K47" i="1" s="1"/>
  <c r="N46" i="1"/>
  <c r="O50" i="9" l="1"/>
  <c r="O46" i="1"/>
  <c r="B33" i="10"/>
  <c r="K33" i="10" s="1"/>
  <c r="N33" i="10" s="1"/>
  <c r="B14" i="10"/>
  <c r="K14" i="10" s="1"/>
  <c r="N13" i="10"/>
  <c r="N51" i="9"/>
  <c r="B52" i="9"/>
  <c r="K52" i="9" s="1"/>
  <c r="B51" i="8"/>
  <c r="K51" i="8" s="1"/>
  <c r="N50" i="8"/>
  <c r="B48" i="1"/>
  <c r="K48" i="1" s="1"/>
  <c r="N47" i="1"/>
  <c r="O47" i="1" s="1"/>
  <c r="O51" i="9" l="1"/>
  <c r="B34" i="10"/>
  <c r="K34" i="10" s="1"/>
  <c r="N34" i="10" s="1"/>
  <c r="N14" i="10"/>
  <c r="B15" i="10"/>
  <c r="K15" i="10" s="1"/>
  <c r="B53" i="9"/>
  <c r="K53" i="9" s="1"/>
  <c r="B54" i="9" s="1"/>
  <c r="N52" i="9"/>
  <c r="N51" i="8"/>
  <c r="B52" i="8"/>
  <c r="K52" i="8" s="1"/>
  <c r="B49" i="1"/>
  <c r="K49" i="1" s="1"/>
  <c r="N48" i="1"/>
  <c r="O48" i="1" s="1"/>
  <c r="O52" i="9" l="1"/>
  <c r="B35" i="10"/>
  <c r="K35" i="10" s="1"/>
  <c r="N35" i="10" s="1"/>
  <c r="B16" i="10"/>
  <c r="K16" i="10" s="1"/>
  <c r="N15" i="10"/>
  <c r="N53" i="9"/>
  <c r="K54" i="9"/>
  <c r="B53" i="8"/>
  <c r="K53" i="8" s="1"/>
  <c r="N52" i="8"/>
  <c r="B50" i="1"/>
  <c r="K50" i="1" s="1"/>
  <c r="N49" i="1"/>
  <c r="O53" i="9" l="1"/>
  <c r="B36" i="10"/>
  <c r="K36" i="10" s="1"/>
  <c r="N36" i="10" s="1"/>
  <c r="O49" i="1"/>
  <c r="N16" i="10"/>
  <c r="B17" i="10"/>
  <c r="K17" i="10" s="1"/>
  <c r="B55" i="9"/>
  <c r="K55" i="9" s="1"/>
  <c r="B56" i="9" s="1"/>
  <c r="N54" i="9"/>
  <c r="B54" i="8"/>
  <c r="K54" i="8" s="1"/>
  <c r="N53" i="8"/>
  <c r="B51" i="1"/>
  <c r="K51" i="1" s="1"/>
  <c r="N50" i="1"/>
  <c r="K80" i="1"/>
  <c r="O54" i="9" l="1"/>
  <c r="B37" i="10"/>
  <c r="K37" i="10" s="1"/>
  <c r="N37" i="10" s="1"/>
  <c r="O50" i="1"/>
  <c r="B18" i="10"/>
  <c r="K18" i="10" s="1"/>
  <c r="B19" i="10" s="1"/>
  <c r="N17" i="10"/>
  <c r="K56" i="9"/>
  <c r="N55" i="9"/>
  <c r="B55" i="8"/>
  <c r="K55" i="8" s="1"/>
  <c r="N54" i="8"/>
  <c r="B52" i="1"/>
  <c r="K52" i="1" s="1"/>
  <c r="N51" i="1"/>
  <c r="O55" i="9" l="1"/>
  <c r="B38" i="10"/>
  <c r="K38" i="10" s="1"/>
  <c r="N38" i="10" s="1"/>
  <c r="O51" i="1"/>
  <c r="N18" i="10"/>
  <c r="K19" i="10"/>
  <c r="N19" i="10" s="1"/>
  <c r="B57" i="9"/>
  <c r="N56" i="9"/>
  <c r="N55" i="8"/>
  <c r="B56" i="8"/>
  <c r="K56" i="8" s="1"/>
  <c r="B53" i="1"/>
  <c r="K53" i="1" s="1"/>
  <c r="N52" i="1"/>
  <c r="O56" i="9" l="1"/>
  <c r="B39" i="10"/>
  <c r="K39" i="10" s="1"/>
  <c r="N39" i="10" s="1"/>
  <c r="O52" i="1"/>
  <c r="K57" i="9"/>
  <c r="B57" i="8"/>
  <c r="K57" i="8" s="1"/>
  <c r="N56" i="8"/>
  <c r="B54" i="1"/>
  <c r="K54" i="1" s="1"/>
  <c r="N53" i="1"/>
  <c r="O53" i="1" s="1"/>
  <c r="N57" i="9" l="1"/>
  <c r="K59" i="9"/>
  <c r="N57" i="8"/>
  <c r="K59" i="8"/>
  <c r="B55" i="1"/>
  <c r="K55" i="1" s="1"/>
  <c r="N55" i="1" s="1"/>
  <c r="N54" i="1"/>
  <c r="S59" i="9" l="1"/>
  <c r="O57" i="9"/>
  <c r="K126" i="9"/>
  <c r="B127" i="9" s="1"/>
  <c r="K127" i="9" s="1"/>
  <c r="N127" i="9" s="1"/>
  <c r="K106" i="9"/>
  <c r="B107" i="9" s="1"/>
  <c r="K107" i="9" s="1"/>
  <c r="N107" i="9" s="1"/>
  <c r="K86" i="9"/>
  <c r="N86" i="9" s="1"/>
  <c r="J168" i="9"/>
  <c r="H168" i="9"/>
  <c r="G168" i="9"/>
  <c r="F168" i="9"/>
  <c r="E168" i="9"/>
  <c r="D168" i="9"/>
  <c r="C168" i="9"/>
  <c r="J139" i="9"/>
  <c r="I139" i="9"/>
  <c r="H139" i="9"/>
  <c r="G139" i="9"/>
  <c r="F139" i="9"/>
  <c r="E139" i="9"/>
  <c r="D139" i="9"/>
  <c r="J119" i="9"/>
  <c r="I119" i="9"/>
  <c r="H119" i="9"/>
  <c r="G119" i="9"/>
  <c r="F119" i="9"/>
  <c r="E119" i="9"/>
  <c r="D119" i="9"/>
  <c r="J99" i="9"/>
  <c r="I99" i="9"/>
  <c r="H99" i="9"/>
  <c r="G99" i="9"/>
  <c r="F99" i="9"/>
  <c r="E99" i="9"/>
  <c r="C99" i="9"/>
  <c r="I92" i="1"/>
  <c r="N80" i="1"/>
  <c r="J92" i="1"/>
  <c r="G92" i="1"/>
  <c r="F92" i="1"/>
  <c r="E92" i="1"/>
  <c r="C92" i="1"/>
  <c r="H92" i="1"/>
  <c r="D92" i="1"/>
  <c r="K65" i="8"/>
  <c r="B66" i="8" s="1"/>
  <c r="K122" i="8"/>
  <c r="N122" i="8" s="1"/>
  <c r="J135" i="8"/>
  <c r="I135" i="8"/>
  <c r="H135" i="8"/>
  <c r="G135" i="8"/>
  <c r="F135" i="8"/>
  <c r="E135" i="8"/>
  <c r="C135" i="8"/>
  <c r="D135" i="8"/>
  <c r="J116" i="8"/>
  <c r="I116" i="8"/>
  <c r="H116" i="8"/>
  <c r="G116" i="8"/>
  <c r="F116" i="8"/>
  <c r="E116" i="8"/>
  <c r="C116" i="8"/>
  <c r="D116" i="8"/>
  <c r="K103" i="8"/>
  <c r="N103" i="8" s="1"/>
  <c r="K135" i="8" l="1"/>
  <c r="N126" i="9"/>
  <c r="N106" i="9"/>
  <c r="B87" i="9"/>
  <c r="K87" i="9" s="1"/>
  <c r="N87" i="9" s="1"/>
  <c r="K139" i="9"/>
  <c r="B128" i="9"/>
  <c r="K128" i="9" s="1"/>
  <c r="N128" i="9" s="1"/>
  <c r="B108" i="9"/>
  <c r="K108" i="9" s="1"/>
  <c r="N108" i="9" s="1"/>
  <c r="B81" i="1"/>
  <c r="K81" i="1" s="1"/>
  <c r="B123" i="8"/>
  <c r="K123" i="8" s="1"/>
  <c r="N123" i="8" s="1"/>
  <c r="K116" i="8"/>
  <c r="B104" i="8"/>
  <c r="K104" i="8" s="1"/>
  <c r="N104" i="8" s="1"/>
  <c r="B88" i="9" l="1"/>
  <c r="K88" i="9" s="1"/>
  <c r="N88" i="9" s="1"/>
  <c r="B129" i="9"/>
  <c r="K129" i="9" s="1"/>
  <c r="N129" i="9" s="1"/>
  <c r="B109" i="9"/>
  <c r="K109" i="9" s="1"/>
  <c r="N109" i="9" s="1"/>
  <c r="B82" i="1"/>
  <c r="K82" i="1" s="1"/>
  <c r="N81" i="1"/>
  <c r="B124" i="8"/>
  <c r="K124" i="8" s="1"/>
  <c r="N124" i="8" s="1"/>
  <c r="B105" i="8"/>
  <c r="B89" i="9" l="1"/>
  <c r="K89" i="9" s="1"/>
  <c r="N89" i="9" s="1"/>
  <c r="B130" i="9"/>
  <c r="K130" i="9" s="1"/>
  <c r="N130" i="9" s="1"/>
  <c r="B110" i="9"/>
  <c r="K110" i="9" s="1"/>
  <c r="N110" i="9" s="1"/>
  <c r="B83" i="1"/>
  <c r="K83" i="1" s="1"/>
  <c r="N82" i="1"/>
  <c r="B125" i="8"/>
  <c r="K125" i="8" s="1"/>
  <c r="N125" i="8" s="1"/>
  <c r="K105" i="8"/>
  <c r="N105" i="8" s="1"/>
  <c r="J97" i="8"/>
  <c r="I97" i="8"/>
  <c r="H97" i="8"/>
  <c r="G97" i="8"/>
  <c r="F97" i="8"/>
  <c r="E97" i="8"/>
  <c r="D97" i="8"/>
  <c r="C97" i="8"/>
  <c r="K84" i="8"/>
  <c r="B90" i="9" l="1"/>
  <c r="K90" i="9" s="1"/>
  <c r="N90" i="9" s="1"/>
  <c r="B131" i="9"/>
  <c r="K131" i="9" s="1"/>
  <c r="N131" i="9" s="1"/>
  <c r="B111" i="9"/>
  <c r="K111" i="9" s="1"/>
  <c r="N111" i="9" s="1"/>
  <c r="N83" i="1"/>
  <c r="B84" i="1"/>
  <c r="K84" i="1" s="1"/>
  <c r="B126" i="8"/>
  <c r="K126" i="8" s="1"/>
  <c r="N126" i="8" s="1"/>
  <c r="B85" i="8"/>
  <c r="K85" i="8" s="1"/>
  <c r="N85" i="8" s="1"/>
  <c r="N84" i="8"/>
  <c r="B106" i="8"/>
  <c r="K106" i="8" s="1"/>
  <c r="K97" i="8"/>
  <c r="J79" i="9"/>
  <c r="I79" i="9"/>
  <c r="H79" i="9"/>
  <c r="G79" i="9"/>
  <c r="F79" i="9"/>
  <c r="E79" i="9"/>
  <c r="D79" i="9"/>
  <c r="C79" i="9"/>
  <c r="K66" i="9"/>
  <c r="N66" i="9" s="1"/>
  <c r="I78" i="8"/>
  <c r="J78" i="8"/>
  <c r="G78" i="8"/>
  <c r="F78" i="8"/>
  <c r="E78" i="8"/>
  <c r="C78" i="8"/>
  <c r="H78" i="8"/>
  <c r="N65" i="8"/>
  <c r="D78" i="8"/>
  <c r="E74" i="1"/>
  <c r="F74" i="1"/>
  <c r="G74" i="1"/>
  <c r="J74" i="1"/>
  <c r="C74" i="1"/>
  <c r="H74" i="1" l="1"/>
  <c r="B86" i="8"/>
  <c r="K86" i="8" s="1"/>
  <c r="N86" i="8" s="1"/>
  <c r="B127" i="8"/>
  <c r="K127" i="8" s="1"/>
  <c r="N127" i="8" s="1"/>
  <c r="D74" i="1"/>
  <c r="I74" i="1"/>
  <c r="K62" i="1"/>
  <c r="B91" i="9"/>
  <c r="K91" i="9" s="1"/>
  <c r="N91" i="9" s="1"/>
  <c r="B132" i="9"/>
  <c r="K132" i="9" s="1"/>
  <c r="N132" i="9" s="1"/>
  <c r="B112" i="9"/>
  <c r="K112" i="9" s="1"/>
  <c r="N112" i="9" s="1"/>
  <c r="B85" i="1"/>
  <c r="K85" i="1" s="1"/>
  <c r="N84" i="1"/>
  <c r="N106" i="8"/>
  <c r="B107" i="8"/>
  <c r="K107" i="8" s="1"/>
  <c r="B67" i="9"/>
  <c r="K67" i="9" s="1"/>
  <c r="N67" i="9" s="1"/>
  <c r="K66" i="8"/>
  <c r="N66" i="8" s="1"/>
  <c r="B63" i="1" l="1"/>
  <c r="K63" i="1" s="1"/>
  <c r="B64" i="1" s="1"/>
  <c r="K64" i="1" s="1"/>
  <c r="N64" i="1" s="1"/>
  <c r="N62" i="1"/>
  <c r="B128" i="8"/>
  <c r="K128" i="8" s="1"/>
  <c r="N128" i="8" s="1"/>
  <c r="B87" i="8"/>
  <c r="K87" i="8" s="1"/>
  <c r="N87" i="8" s="1"/>
  <c r="K74" i="1"/>
  <c r="B68" i="9"/>
  <c r="K68" i="9" s="1"/>
  <c r="N68" i="9" s="1"/>
  <c r="B92" i="9"/>
  <c r="K92" i="9" s="1"/>
  <c r="N92" i="9" s="1"/>
  <c r="B133" i="9"/>
  <c r="K133" i="9" s="1"/>
  <c r="N133" i="9" s="1"/>
  <c r="B113" i="9"/>
  <c r="K113" i="9" s="1"/>
  <c r="N113" i="9" s="1"/>
  <c r="B86" i="1"/>
  <c r="K86" i="1" s="1"/>
  <c r="N85" i="1"/>
  <c r="N107" i="8"/>
  <c r="B108" i="8"/>
  <c r="K108" i="8" s="1"/>
  <c r="B67" i="8"/>
  <c r="K67" i="8" s="1"/>
  <c r="N67" i="8" s="1"/>
  <c r="B65" i="1" l="1"/>
  <c r="K65" i="1" s="1"/>
  <c r="N65" i="1" s="1"/>
  <c r="N63" i="1"/>
  <c r="B129" i="8"/>
  <c r="K129" i="8" s="1"/>
  <c r="N129" i="8" s="1"/>
  <c r="B88" i="8"/>
  <c r="K88" i="8" s="1"/>
  <c r="N88" i="8" s="1"/>
  <c r="B69" i="9"/>
  <c r="K69" i="9" s="1"/>
  <c r="N69" i="9" s="1"/>
  <c r="B93" i="9"/>
  <c r="K93" i="9" s="1"/>
  <c r="N93" i="9" s="1"/>
  <c r="B134" i="9"/>
  <c r="K134" i="9" s="1"/>
  <c r="N134" i="9" s="1"/>
  <c r="B114" i="9"/>
  <c r="K114" i="9" s="1"/>
  <c r="N114" i="9" s="1"/>
  <c r="B87" i="1"/>
  <c r="K87" i="1" s="1"/>
  <c r="N87" i="1" s="1"/>
  <c r="N86" i="1"/>
  <c r="N108" i="8"/>
  <c r="B109" i="8"/>
  <c r="K109" i="8" s="1"/>
  <c r="B68" i="8"/>
  <c r="B66" i="1" l="1"/>
  <c r="K66" i="1" s="1"/>
  <c r="N66" i="1" s="1"/>
  <c r="B130" i="8"/>
  <c r="K130" i="8" s="1"/>
  <c r="N130" i="8" s="1"/>
  <c r="B89" i="8"/>
  <c r="K89" i="8" s="1"/>
  <c r="N89" i="8" s="1"/>
  <c r="B70" i="9"/>
  <c r="K70" i="9" s="1"/>
  <c r="N70" i="9" s="1"/>
  <c r="B94" i="9"/>
  <c r="K94" i="9" s="1"/>
  <c r="N94" i="9" s="1"/>
  <c r="B135" i="9"/>
  <c r="K135" i="9" s="1"/>
  <c r="B115" i="9"/>
  <c r="K115" i="9" s="1"/>
  <c r="B88" i="1"/>
  <c r="K88" i="1" s="1"/>
  <c r="N88" i="1" s="1"/>
  <c r="N109" i="8"/>
  <c r="B110" i="8"/>
  <c r="K110" i="8" s="1"/>
  <c r="K68" i="8"/>
  <c r="N68" i="8" s="1"/>
  <c r="B67" i="1" l="1"/>
  <c r="K67" i="1" s="1"/>
  <c r="B68" i="1" s="1"/>
  <c r="K68" i="1" s="1"/>
  <c r="B131" i="8"/>
  <c r="K131" i="8" s="1"/>
  <c r="N131" i="8" s="1"/>
  <c r="B90" i="8"/>
  <c r="K90" i="8" s="1"/>
  <c r="N90" i="8" s="1"/>
  <c r="B71" i="9"/>
  <c r="K71" i="9" s="1"/>
  <c r="N71" i="9" s="1"/>
  <c r="B95" i="9"/>
  <c r="K95" i="9" s="1"/>
  <c r="B96" i="9" s="1"/>
  <c r="K96" i="9" s="1"/>
  <c r="N96" i="9" s="1"/>
  <c r="K154" i="9"/>
  <c r="N135" i="9"/>
  <c r="B136" i="9"/>
  <c r="K136" i="9" s="1"/>
  <c r="N136" i="9" s="1"/>
  <c r="B116" i="9"/>
  <c r="K116" i="9" s="1"/>
  <c r="N116" i="9" s="1"/>
  <c r="N115" i="9"/>
  <c r="B89" i="1"/>
  <c r="K89" i="1" s="1"/>
  <c r="N89" i="1" s="1"/>
  <c r="N110" i="8"/>
  <c r="B111" i="8"/>
  <c r="K111" i="8" s="1"/>
  <c r="B69" i="8"/>
  <c r="K69" i="8" s="1"/>
  <c r="N154" i="9" l="1"/>
  <c r="N67" i="1"/>
  <c r="B132" i="8"/>
  <c r="K132" i="8" s="1"/>
  <c r="N132" i="8" s="1"/>
  <c r="B91" i="8"/>
  <c r="K91" i="8" s="1"/>
  <c r="N91" i="8" s="1"/>
  <c r="B72" i="9"/>
  <c r="K72" i="9" s="1"/>
  <c r="N72" i="9" s="1"/>
  <c r="N95" i="9"/>
  <c r="N68" i="1"/>
  <c r="B69" i="1"/>
  <c r="K69" i="1" s="1"/>
  <c r="B137" i="9"/>
  <c r="K137" i="9" s="1"/>
  <c r="N137" i="9" s="1"/>
  <c r="B117" i="9"/>
  <c r="K117" i="9" s="1"/>
  <c r="B97" i="9"/>
  <c r="K97" i="9" s="1"/>
  <c r="B90" i="1"/>
  <c r="K90" i="1" s="1"/>
  <c r="N90" i="1" s="1"/>
  <c r="N111" i="8"/>
  <c r="B112" i="8"/>
  <c r="K112" i="8" s="1"/>
  <c r="N69" i="8"/>
  <c r="B70" i="8"/>
  <c r="K70" i="8" s="1"/>
  <c r="K153" i="9" l="1"/>
  <c r="N117" i="9"/>
  <c r="K119" i="9"/>
  <c r="N97" i="9"/>
  <c r="K99" i="9"/>
  <c r="B133" i="8"/>
  <c r="K133" i="8" s="1"/>
  <c r="N133" i="8" s="1"/>
  <c r="B92" i="8"/>
  <c r="K92" i="8" s="1"/>
  <c r="N92" i="8" s="1"/>
  <c r="B73" i="9"/>
  <c r="K73" i="9" s="1"/>
  <c r="N73" i="9" s="1"/>
  <c r="N69" i="1"/>
  <c r="B70" i="1"/>
  <c r="K70" i="1" s="1"/>
  <c r="B91" i="1"/>
  <c r="K91" i="1" s="1"/>
  <c r="N112" i="8"/>
  <c r="B113" i="8"/>
  <c r="K113" i="8" s="1"/>
  <c r="N113" i="8" s="1"/>
  <c r="N70" i="8"/>
  <c r="B71" i="8"/>
  <c r="K71" i="8" s="1"/>
  <c r="N153" i="9" l="1"/>
  <c r="K152" i="9"/>
  <c r="N152" i="9" s="1"/>
  <c r="N91" i="1"/>
  <c r="K92" i="1"/>
  <c r="B93" i="8"/>
  <c r="K93" i="8" s="1"/>
  <c r="N93" i="8" s="1"/>
  <c r="B74" i="9"/>
  <c r="K74" i="9" s="1"/>
  <c r="N74" i="9" s="1"/>
  <c r="N70" i="1"/>
  <c r="B71" i="1"/>
  <c r="B114" i="8"/>
  <c r="K114" i="8" s="1"/>
  <c r="N114" i="8" s="1"/>
  <c r="N71" i="8"/>
  <c r="B72" i="8"/>
  <c r="K72" i="8" s="1"/>
  <c r="K151" i="9" l="1"/>
  <c r="N151" i="9" s="1"/>
  <c r="K71" i="1"/>
  <c r="N71" i="1" s="1"/>
  <c r="B94" i="8"/>
  <c r="K94" i="8" s="1"/>
  <c r="N94" i="8" s="1"/>
  <c r="B75" i="9"/>
  <c r="K75" i="9" s="1"/>
  <c r="N75" i="9" s="1"/>
  <c r="N72" i="8"/>
  <c r="B73" i="8"/>
  <c r="K73" i="8" s="1"/>
  <c r="K150" i="9" l="1"/>
  <c r="N150" i="9" s="1"/>
  <c r="B72" i="1"/>
  <c r="K72" i="1" s="1"/>
  <c r="N72" i="1" s="1"/>
  <c r="B95" i="8"/>
  <c r="K95" i="8" s="1"/>
  <c r="N95" i="8" s="1"/>
  <c r="B76" i="9"/>
  <c r="K76" i="9" s="1"/>
  <c r="N73" i="8"/>
  <c r="B74" i="8"/>
  <c r="K74" i="8" s="1"/>
  <c r="K149" i="9" l="1"/>
  <c r="N149" i="9" s="1"/>
  <c r="B73" i="1"/>
  <c r="K73" i="1" s="1"/>
  <c r="N73" i="1" s="1"/>
  <c r="N76" i="9"/>
  <c r="B77" i="9"/>
  <c r="K77" i="9" s="1"/>
  <c r="N74" i="8"/>
  <c r="B75" i="8"/>
  <c r="K75" i="8" s="1"/>
  <c r="N75" i="8" s="1"/>
  <c r="K148" i="9" l="1"/>
  <c r="N148" i="9" s="1"/>
  <c r="N77" i="9"/>
  <c r="K79" i="9"/>
  <c r="B76" i="8"/>
  <c r="K76" i="8" s="1"/>
  <c r="K147" i="9" l="1"/>
  <c r="N147" i="9" s="1"/>
  <c r="N76" i="8"/>
  <c r="K78" i="8"/>
  <c r="K146" i="9" l="1"/>
  <c r="N146" i="9" l="1"/>
  <c r="N168" i="9" s="1"/>
</calcChain>
</file>

<file path=xl/sharedStrings.xml><?xml version="1.0" encoding="utf-8"?>
<sst xmlns="http://schemas.openxmlformats.org/spreadsheetml/2006/main" count="1315" uniqueCount="296">
  <si>
    <t>REAL ESTATE</t>
  </si>
  <si>
    <t>BEG BAL</t>
  </si>
  <si>
    <t>COMMITMENTS</t>
  </si>
  <si>
    <t>PAYMENTS</t>
  </si>
  <si>
    <t>REFUNDS</t>
  </si>
  <si>
    <t>ABATEMENTS</t>
  </si>
  <si>
    <t>ADJUSTMENTS</t>
  </si>
  <si>
    <t>TAX TITLE</t>
  </si>
  <si>
    <t>ENDING BALANCE</t>
  </si>
  <si>
    <t>GL</t>
  </si>
  <si>
    <t>TAX MODULE</t>
  </si>
  <si>
    <t>FY 2020 LEVY</t>
  </si>
  <si>
    <t>PMT REVERSAL</t>
  </si>
  <si>
    <t>EXEMPTION</t>
  </si>
  <si>
    <t>VARIANCE</t>
  </si>
  <si>
    <t>01-000-1220-202000</t>
  </si>
  <si>
    <t>TOTALS</t>
  </si>
  <si>
    <t>FY 2019 LEVY</t>
  </si>
  <si>
    <t>PERSONAL PROPERTY</t>
  </si>
  <si>
    <t>+</t>
  </si>
  <si>
    <t>-</t>
  </si>
  <si>
    <t>+/-</t>
  </si>
  <si>
    <t>01-000-1210-202000</t>
  </si>
  <si>
    <t>MOTOR VEHICLE EXCISE</t>
  </si>
  <si>
    <t>01-000-1260-202000</t>
  </si>
  <si>
    <t>01-000-1240-000000</t>
  </si>
  <si>
    <t>01-000-1210-201900</t>
  </si>
  <si>
    <t>FY 2018 LEVY</t>
  </si>
  <si>
    <t>FY 2017 LEVY</t>
  </si>
  <si>
    <t>01-000-1210-201800</t>
  </si>
  <si>
    <t>01-000-1210-201700</t>
  </si>
  <si>
    <t>01-000-1220-201900</t>
  </si>
  <si>
    <t>01-000-1220-201800</t>
  </si>
  <si>
    <t>01-000-1220-201700</t>
  </si>
  <si>
    <t>01-000-1260-201900</t>
  </si>
  <si>
    <t>01-000-1260-201800</t>
  </si>
  <si>
    <t>01-000-1260-201700</t>
  </si>
  <si>
    <t>TAKINGS</t>
  </si>
  <si>
    <t>FORECLOSURE</t>
  </si>
  <si>
    <t>CERTIFICATIONS</t>
  </si>
  <si>
    <t>FY 2021 LEVY</t>
  </si>
  <si>
    <t>01-000-1210-202100</t>
  </si>
  <si>
    <t>01-000-1220-202100</t>
  </si>
  <si>
    <t>01-000-1260-202100</t>
  </si>
  <si>
    <t>FY 2022 Levy</t>
  </si>
  <si>
    <t>01-000-1220-202200</t>
  </si>
  <si>
    <t>01-000-1210-202200</t>
  </si>
  <si>
    <t>01-000-1260-202200</t>
  </si>
  <si>
    <t>FY 2023 Levy</t>
  </si>
  <si>
    <t>01-000-1210-202300</t>
  </si>
  <si>
    <t>01-000-1220-202300</t>
  </si>
  <si>
    <t>Timing variance, refund hits in August</t>
  </si>
  <si>
    <t>01-000-1260-202300</t>
  </si>
  <si>
    <t>??</t>
  </si>
  <si>
    <t>Ending Variance</t>
  </si>
  <si>
    <t>old variance</t>
  </si>
  <si>
    <t>Old Levy's no activity</t>
  </si>
  <si>
    <t>1996-2016</t>
  </si>
  <si>
    <t>2022 Payable Reversal in GL not AR</t>
  </si>
  <si>
    <t>refund void not in collectors</t>
  </si>
  <si>
    <t>01-000-1225-201900</t>
  </si>
  <si>
    <t>Abate/Exempt</t>
  </si>
  <si>
    <t>Sept in AR not GL</t>
  </si>
  <si>
    <t>???</t>
  </si>
  <si>
    <t>Jul 21 in GL not AR</t>
  </si>
  <si>
    <t>1995-2016</t>
  </si>
  <si>
    <t>1995-2016 Levys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</si>
  <si>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</si>
  <si>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</si>
  <si>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</si>
  <si>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</si>
  <si>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</si>
  <si>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</si>
  <si>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</si>
  <si>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</si>
  <si>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</si>
  <si>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</si>
  <si>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</si>
  <si>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</si>
  <si>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</si>
  <si>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</si>
  <si>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</si>
  <si>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</si>
  <si>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</si>
  <si>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</si>
  <si>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</si>
  <si>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</si>
  <si>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</si>
  <si>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01-000-1260-201600 to 199600</t>
  </si>
  <si>
    <t xml:space="preserve">FY22 refund ?? HUSSAR ANDREW + KAREN </t>
  </si>
  <si>
    <t>Aug adj not bookes</t>
  </si>
  <si>
    <t>Supplemental not booked?</t>
  </si>
  <si>
    <t>Tax Title not booked</t>
  </si>
  <si>
    <t>Feb 22 refund  in GL not AR</t>
  </si>
  <si>
    <t>June refund of interest hit rec</t>
  </si>
  <si>
    <t>Adjustments not booked</t>
  </si>
  <si>
    <t>February Abatement Variance</t>
  </si>
  <si>
    <t>23.02/23-571</t>
  </si>
  <si>
    <t>22.11 23-640</t>
  </si>
  <si>
    <t>CB23.47-08</t>
  </si>
  <si>
    <t>rec not posted</t>
  </si>
  <si>
    <t>CB23.47-08 posted doesn’t tie</t>
  </si>
  <si>
    <t>J23-108 delta</t>
  </si>
  <si>
    <t>J23-109 delta</t>
  </si>
  <si>
    <t>J23-110 delta</t>
  </si>
  <si>
    <t>J23-111 delta</t>
  </si>
  <si>
    <t>J23-113 delta</t>
  </si>
  <si>
    <t>J23-114 delta</t>
  </si>
  <si>
    <t>J23-115 delta</t>
  </si>
  <si>
    <t>J23-116 delta</t>
  </si>
  <si>
    <t>J23-117 delta</t>
  </si>
  <si>
    <t>J23-118 delta</t>
  </si>
  <si>
    <t>moved pp rev off</t>
  </si>
  <si>
    <t>?</t>
  </si>
  <si>
    <t>Dec Rec var</t>
  </si>
  <si>
    <t>boat excise</t>
  </si>
  <si>
    <t>Jan Rec var</t>
  </si>
  <si>
    <t>Feb Rec var</t>
  </si>
  <si>
    <t>Apr Rec var</t>
  </si>
  <si>
    <t>May Rec var</t>
  </si>
  <si>
    <t>May debit adj not booked</t>
  </si>
  <si>
    <t>Comm April 22 in GL not AR</t>
  </si>
  <si>
    <t>Feb 22 refund in GL not AR</t>
  </si>
  <si>
    <t>BOAT EXCISE</t>
  </si>
  <si>
    <t>1995</t>
  </si>
  <si>
    <t>1989</t>
  </si>
  <si>
    <t>2017</t>
  </si>
  <si>
    <t>2021</t>
  </si>
  <si>
    <t>2020</t>
  </si>
  <si>
    <t>2019</t>
  </si>
  <si>
    <t>2018</t>
  </si>
  <si>
    <t>2022</t>
  </si>
  <si>
    <t>2023</t>
  </si>
  <si>
    <t>01-000-1270-xxxx</t>
  </si>
  <si>
    <t>By levy Year</t>
  </si>
  <si>
    <t>All years</t>
  </si>
  <si>
    <t>Debit adj not posted</t>
  </si>
  <si>
    <t xml:space="preserve">no account set up, revenues hit personal prop </t>
  </si>
  <si>
    <t>not in vadar</t>
  </si>
  <si>
    <t>Tax Deferral</t>
  </si>
  <si>
    <t>01-000-1242-000000</t>
  </si>
  <si>
    <t>need to book taking</t>
  </si>
  <si>
    <t>write-off not booked</t>
  </si>
  <si>
    <t>Commitments</t>
  </si>
  <si>
    <t>Abatements</t>
  </si>
  <si>
    <t>Adjustments</t>
  </si>
  <si>
    <t>receipt variance</t>
  </si>
  <si>
    <t>abatement not booked</t>
  </si>
  <si>
    <t>refunds booked to wrong year</t>
  </si>
  <si>
    <t>Jul rev posted wrong</t>
  </si>
  <si>
    <t>Aug rev posted wrong</t>
  </si>
  <si>
    <t>Sep rev posted wrong</t>
  </si>
  <si>
    <t>Oct rev posted wrong</t>
  </si>
  <si>
    <t>2/17/2023 receipt not booked</t>
  </si>
  <si>
    <t>in-transit?</t>
  </si>
  <si>
    <t>2/17 receipt not booked</t>
  </si>
  <si>
    <t>This 2/17 receipt didn’t book in fy23</t>
  </si>
  <si>
    <t>jul-jan</t>
  </si>
  <si>
    <t>Old Variance</t>
  </si>
  <si>
    <t>Personal Property Journal Corrections</t>
  </si>
  <si>
    <t>DR</t>
  </si>
  <si>
    <t>CR</t>
  </si>
  <si>
    <t>01-000-1210-202300-0000</t>
  </si>
  <si>
    <t>01-000-2610-000000-0001</t>
  </si>
  <si>
    <t>To correct J23-108</t>
  </si>
  <si>
    <t>To correct J23-109</t>
  </si>
  <si>
    <t>To correct J23-110</t>
  </si>
  <si>
    <t>To correct J23-111</t>
  </si>
  <si>
    <t>To correct J23-113</t>
  </si>
  <si>
    <t>To correct J23-114</t>
  </si>
  <si>
    <t>To correct J23-115</t>
  </si>
  <si>
    <t>To correct J23-116</t>
  </si>
  <si>
    <t>To correct J23-117</t>
  </si>
  <si>
    <t>To correct J23-118</t>
  </si>
  <si>
    <t>Feb commitment not posted</t>
  </si>
  <si>
    <t>Feb Abatement not posted</t>
  </si>
  <si>
    <t>May Adj not corrected</t>
  </si>
  <si>
    <t>Record February Commitment</t>
  </si>
  <si>
    <t>To record May adjustment</t>
  </si>
  <si>
    <t>2023 Levy corrections</t>
  </si>
  <si>
    <t>01-000-1210-202200-0000</t>
  </si>
  <si>
    <t>to adjust for reduction due to boat excise</t>
  </si>
  <si>
    <t>To record May debit adjustment</t>
  </si>
  <si>
    <t>2022 Levy corrections</t>
  </si>
  <si>
    <t>To correct prior year variances</t>
  </si>
  <si>
    <t>Real Estate Journal Corrections</t>
  </si>
  <si>
    <t>01-000-1220-202300-0000</t>
  </si>
  <si>
    <t>correct June refund of interest that hit AR</t>
  </si>
  <si>
    <t>To recclass Feb abatement booked to RE tax</t>
  </si>
  <si>
    <t>booked to RE tax</t>
  </si>
  <si>
    <t>should have hit PP</t>
  </si>
  <si>
    <t>To record Jan adjustments</t>
  </si>
  <si>
    <t>To record Feb adjustments</t>
  </si>
  <si>
    <t>To record Apr adjustments</t>
  </si>
  <si>
    <t>To record May adjustments</t>
  </si>
  <si>
    <t>To record June adjustments</t>
  </si>
  <si>
    <t>Remaining items - discuss with Treasury</t>
  </si>
  <si>
    <t>01-000-1220-202200-0000</t>
  </si>
  <si>
    <t>To record ending balance in supplemental tax - none of supplemental transactions were posted</t>
  </si>
  <si>
    <t>To record August adjustment</t>
  </si>
  <si>
    <t>2021 Levy corrections</t>
  </si>
  <si>
    <t>None but remaining issue from PY</t>
  </si>
  <si>
    <t>refund void not in collectors - July 21 void</t>
  </si>
  <si>
    <t>Motor Vehicle Journal Corrections</t>
  </si>
  <si>
    <t>To record reduction of RE that was moved to the Tax Title in May</t>
  </si>
  <si>
    <t>01-000-1260-202300-0000</t>
  </si>
  <si>
    <t>01-000-2630-000000-0001</t>
  </si>
  <si>
    <t>To record Feb Commitment</t>
  </si>
  <si>
    <t>To record Apr Commitment</t>
  </si>
  <si>
    <t>To record May Commitment</t>
  </si>
  <si>
    <t>To record Feb Abat/Adj</t>
  </si>
  <si>
    <t>To record Mar Abat/Adj</t>
  </si>
  <si>
    <t>To record Apr Abat/Adj</t>
  </si>
  <si>
    <t>To record May Abat/Adj</t>
  </si>
  <si>
    <t>To record Jun Abat/Adj</t>
  </si>
  <si>
    <t>01-000-1260-202200-0000</t>
  </si>
  <si>
    <t>To record Jul Commitment</t>
  </si>
  <si>
    <t>To record Oct Commitment</t>
  </si>
  <si>
    <t>To record Dec Commitment</t>
  </si>
  <si>
    <t>To record Jul Abat/Adj</t>
  </si>
  <si>
    <t>To record Aug Abat/Adj</t>
  </si>
  <si>
    <t>To record Sep Abat/Adj</t>
  </si>
  <si>
    <t>To record Oct Abat/Adj</t>
  </si>
  <si>
    <t>To record Nov Abat/Adj</t>
  </si>
  <si>
    <t>To record Dec Abat/Adj</t>
  </si>
  <si>
    <t>01-000-1260-202100-0000</t>
  </si>
  <si>
    <t>To reclass refunds posted to the wrong year (Jul-Jan)</t>
  </si>
  <si>
    <t>To reclass revenue posted to the wrong year (Jul-Oct)</t>
  </si>
  <si>
    <t>To record Sept 21 Abat/Adj</t>
  </si>
  <si>
    <t>2020 Levy corrections</t>
  </si>
  <si>
    <t>Boat Journal Corrections</t>
  </si>
  <si>
    <t>01-000-1270-202200-0000</t>
  </si>
  <si>
    <t>01-000-2641-000000-0001</t>
  </si>
  <si>
    <t>To record end of year boat excise balance - no transactions were recorded</t>
  </si>
  <si>
    <t>To record adjustment</t>
  </si>
  <si>
    <t>Tax Title Corrections</t>
  </si>
  <si>
    <t>01-000-2622-000000-0001</t>
  </si>
  <si>
    <t>01-000-1240-000000-0001</t>
  </si>
  <si>
    <t>To record Tax Title Taking</t>
  </si>
  <si>
    <t>1995-2017 writoffs</t>
  </si>
  <si>
    <t>01-000-1260-201700-0000</t>
  </si>
  <si>
    <t>01-000-1260-201600-0000</t>
  </si>
  <si>
    <t>01-000-1260-201500-0000</t>
  </si>
  <si>
    <t>01-000-1260-201400-0000</t>
  </si>
  <si>
    <t>01-000-1260-201300-0000</t>
  </si>
  <si>
    <t>01-000-1260-201200-0000</t>
  </si>
  <si>
    <t>01-000-1260-201100-0000</t>
  </si>
  <si>
    <t>01-000-1260-201000-0000</t>
  </si>
  <si>
    <t>01-000-1260-200900-0000</t>
  </si>
  <si>
    <t>01-000-1260-200800-0000</t>
  </si>
  <si>
    <t>01-000-1260-200700-0001</t>
  </si>
  <si>
    <t>01-000-1260-200600-0001</t>
  </si>
  <si>
    <t>01-000-1260-200500-0001</t>
  </si>
  <si>
    <t>01-000-1260-200400-0001</t>
  </si>
  <si>
    <t>01-000-1260-200300-0001</t>
  </si>
  <si>
    <t>01-000-1260-200200-0001</t>
  </si>
  <si>
    <t>01-000-1260-200100-0001</t>
  </si>
  <si>
    <t>01-000-1260-200000-0001</t>
  </si>
  <si>
    <t>to record write-offs approved in feb</t>
  </si>
  <si>
    <t>2000 and prior were booked to this acct</t>
  </si>
  <si>
    <t>01-000-1260-202000-0000</t>
  </si>
  <si>
    <t>sarah fixing with receipt</t>
  </si>
  <si>
    <t>Posted adj</t>
  </si>
  <si>
    <t>s/h posted</t>
  </si>
  <si>
    <t>delta</t>
  </si>
  <si>
    <t>J23-112 ok</t>
  </si>
  <si>
    <t>AccountNumber</t>
  </si>
  <si>
    <t>Sum of Ending</t>
  </si>
  <si>
    <t>Column Labels</t>
  </si>
  <si>
    <t>Row Labels</t>
  </si>
  <si>
    <t>Payable</t>
  </si>
  <si>
    <t>Receivable</t>
  </si>
  <si>
    <t>Grand Total</t>
  </si>
  <si>
    <t>Qtr3</t>
  </si>
  <si>
    <t>Jul</t>
  </si>
  <si>
    <t>Aug</t>
  </si>
  <si>
    <t>Sep</t>
  </si>
  <si>
    <t>Qtr4</t>
  </si>
  <si>
    <t>Oct</t>
  </si>
  <si>
    <t>Nov</t>
  </si>
  <si>
    <t>Dec</t>
  </si>
  <si>
    <t>Qtr1</t>
  </si>
  <si>
    <t>Jan</t>
  </si>
  <si>
    <t>Feb</t>
  </si>
  <si>
    <t>Mar</t>
  </si>
  <si>
    <t>Qtr2</t>
  </si>
  <si>
    <t>Apr</t>
  </si>
  <si>
    <t>May</t>
  </si>
  <si>
    <t>Jun</t>
  </si>
  <si>
    <t>Block</t>
  </si>
  <si>
    <t>Batch</t>
  </si>
  <si>
    <t>REC 1</t>
  </si>
  <si>
    <t>COM/ABT/ADJ</t>
  </si>
  <si>
    <t>REC 2</t>
  </si>
  <si>
    <t>Other Corr</t>
  </si>
  <si>
    <t>01-000-1270-202000-0000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</si>
</sst>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\-mmm\-yy"/>
    <numFmt numFmtId="165" formatCode="&quot;$&quot;#,##0.00;\(&quot;$&quot;#,##0.00\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6EEF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14" fontId="0" fillId="0" borderId="0" xfId="0" applyNumberFormat="1"/>
    <xf numFmtId="43" fontId="0" fillId="0" borderId="0" xfId="1" applyFont="1"/>
    <xf numFmtId="0" fontId="0" fillId="0" borderId="1" xfId="0" applyBorder="1"/>
    <xf numFmtId="43" fontId="0" fillId="0" borderId="0" xfId="0" applyNumberForma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3" fontId="0" fillId="0" borderId="2" xfId="1" applyFont="1" applyBorder="1"/>
    <xf numFmtId="43" fontId="0" fillId="0" borderId="0" xfId="1" applyFont="1" applyFill="1"/>
    <xf numFmtId="0" fontId="0" fillId="0" borderId="0" xfId="0" quotePrefix="1" applyAlignment="1">
      <alignment horizontal="center"/>
    </xf>
    <xf numFmtId="43" fontId="0" fillId="0" borderId="0" xfId="1" applyFont="1" applyBorder="1"/>
    <xf numFmtId="0" fontId="4" fillId="0" borderId="0" xfId="0" applyFont="1"/>
    <xf numFmtId="43" fontId="4" fillId="0" borderId="0" xfId="1" applyFont="1" applyFill="1"/>
    <xf numFmtId="43" fontId="4" fillId="3" borderId="0" xfId="0" applyNumberFormat="1" applyFont="1" applyFill="1"/>
    <xf numFmtId="43" fontId="0" fillId="3" borderId="0" xfId="1" applyFont="1" applyFill="1"/>
    <xf numFmtId="43" fontId="4" fillId="3" borderId="0" xfId="1" applyFont="1" applyFill="1"/>
    <xf numFmtId="0" fontId="0" fillId="0" borderId="0" xfId="0" applyAlignment="1">
      <alignment horizontal="right"/>
    </xf>
    <xf numFmtId="43" fontId="0" fillId="0" borderId="2" xfId="1" applyFont="1" applyFill="1" applyBorder="1"/>
    <xf numFmtId="43" fontId="4" fillId="0" borderId="0" xfId="0" applyNumberFormat="1" applyFont="1"/>
    <xf numFmtId="43" fontId="0" fillId="0" borderId="0" xfId="1" applyFont="1" applyFill="1" applyBorder="1"/>
    <xf numFmtId="0" fontId="0" fillId="0" borderId="0" xfId="0" applyAlignment="1">
      <alignment horizontal="center" vertical="center"/>
    </xf>
    <xf numFmtId="0" fontId="6" fillId="0" borderId="0" xfId="0" applyFont="1"/>
    <xf numFmtId="0" fontId="5" fillId="2" borderId="0" xfId="0" applyFont="1" applyFill="1" applyAlignment="1">
      <alignment horizontal="center" vertical="center"/>
    </xf>
    <xf numFmtId="0" fontId="7" fillId="0" borderId="0" xfId="0" applyFont="1"/>
    <xf numFmtId="43" fontId="8" fillId="0" borderId="0" xfId="1" applyFont="1" applyFill="1"/>
    <xf numFmtId="43" fontId="7" fillId="0" borderId="0" xfId="0" applyNumberFormat="1" applyFont="1"/>
    <xf numFmtId="43" fontId="0" fillId="0" borderId="0" xfId="0" applyNumberFormat="1" applyAlignment="1">
      <alignment horizontal="right"/>
    </xf>
    <xf numFmtId="43" fontId="8" fillId="0" borderId="0" xfId="1" applyFont="1"/>
    <xf numFmtId="43" fontId="7" fillId="0" borderId="0" xfId="1" applyFont="1" applyFill="1"/>
    <xf numFmtId="43" fontId="0" fillId="0" borderId="0" xfId="1" applyFont="1" applyFill="1" applyAlignment="1">
      <alignment horizontal="center" vertical="center"/>
    </xf>
    <xf numFmtId="43" fontId="0" fillId="0" borderId="1" xfId="1" applyFont="1" applyFill="1" applyBorder="1" applyAlignment="1">
      <alignment horizontal="center"/>
    </xf>
    <xf numFmtId="0" fontId="0" fillId="4" borderId="0" xfId="0" applyFill="1"/>
    <xf numFmtId="0" fontId="4" fillId="5" borderId="0" xfId="0" applyFont="1" applyFill="1" applyAlignment="1">
      <alignment horizontal="center" vertical="center"/>
    </xf>
    <xf numFmtId="43" fontId="8" fillId="0" borderId="2" xfId="1" applyFont="1" applyBorder="1"/>
    <xf numFmtId="0" fontId="8" fillId="0" borderId="0" xfId="0" applyFont="1"/>
    <xf numFmtId="0" fontId="8" fillId="0" borderId="0" xfId="0" quotePrefix="1" applyFont="1" applyAlignment="1">
      <alignment horizontal="center"/>
    </xf>
    <xf numFmtId="0" fontId="8" fillId="0" borderId="1" xfId="0" applyFont="1" applyBorder="1" applyAlignment="1">
      <alignment horizontal="center"/>
    </xf>
    <xf numFmtId="43" fontId="0" fillId="0" borderId="0" xfId="1" applyFont="1" applyFill="1" applyBorder="1" applyAlignment="1">
      <alignment horizontal="center"/>
    </xf>
    <xf numFmtId="43" fontId="0" fillId="0" borderId="0" xfId="1" applyFont="1" applyAlignment="1">
      <alignment horizontal="left"/>
    </xf>
    <xf numFmtId="43" fontId="9" fillId="0" borderId="0" xfId="0" applyNumberFormat="1" applyFont="1"/>
    <xf numFmtId="0" fontId="9" fillId="0" borderId="0" xfId="0" applyFont="1"/>
    <xf numFmtId="43" fontId="9" fillId="0" borderId="0" xfId="1" applyFont="1" applyFill="1"/>
    <xf numFmtId="14" fontId="0" fillId="0" borderId="0" xfId="1" applyNumberFormat="1" applyFont="1" applyFill="1"/>
    <xf numFmtId="43" fontId="0" fillId="6" borderId="0" xfId="1" applyFont="1" applyFill="1"/>
    <xf numFmtId="0" fontId="10" fillId="0" borderId="0" xfId="0" applyFont="1"/>
    <xf numFmtId="44" fontId="0" fillId="0" borderId="0" xfId="3" applyFont="1"/>
    <xf numFmtId="43" fontId="11" fillId="0" borderId="0" xfId="0" applyNumberFormat="1" applyFont="1"/>
    <xf numFmtId="14" fontId="0" fillId="0" borderId="0" xfId="0" quotePrefix="1" applyNumberFormat="1"/>
    <xf numFmtId="43" fontId="0" fillId="2" borderId="0" xfId="1" applyFont="1" applyFill="1"/>
    <xf numFmtId="43" fontId="0" fillId="8" borderId="0" xfId="1" applyFont="1" applyFill="1"/>
    <xf numFmtId="43" fontId="0" fillId="7" borderId="2" xfId="1" applyFont="1" applyFill="1" applyBorder="1"/>
    <xf numFmtId="43" fontId="0" fillId="2" borderId="2" xfId="1" applyFont="1" applyFill="1" applyBorder="1"/>
    <xf numFmtId="43" fontId="8" fillId="2" borderId="0" xfId="1" applyFont="1" applyFill="1"/>
    <xf numFmtId="0" fontId="0" fillId="2" borderId="0" xfId="0" applyFill="1"/>
    <xf numFmtId="43" fontId="8" fillId="7" borderId="0" xfId="1" applyFont="1" applyFill="1"/>
    <xf numFmtId="14" fontId="0" fillId="0" borderId="0" xfId="0" applyNumberFormat="1" applyAlignment="1">
      <alignment horizontal="right"/>
    </xf>
    <xf numFmtId="43" fontId="0" fillId="0" borderId="0" xfId="1" applyFont="1" applyAlignment="1">
      <alignment horizontal="right"/>
    </xf>
    <xf numFmtId="0" fontId="0" fillId="0" borderId="0" xfId="0" applyAlignment="1">
      <alignment horizontal="left" indent="2"/>
    </xf>
    <xf numFmtId="0" fontId="13" fillId="0" borderId="0" xfId="0" applyFont="1"/>
    <xf numFmtId="0" fontId="0" fillId="0" borderId="0" xfId="1" applyNumberFormat="1" applyFont="1" applyFill="1"/>
    <xf numFmtId="43" fontId="0" fillId="7" borderId="0" xfId="1" applyFont="1" applyFill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pivotButton="1"/>
  </cellXfs>
  <cellStyles count="4">
    <cellStyle name="Comma" xfId="1" builtinId="3"/>
    <cellStyle name="Currency" xfId="3" builtinId="4"/>
    <cellStyle name="Normal" xfId="0" builtinId="0"/>
    <cellStyle name="Normal 2" xfId="2" xr:uid="{00000000-0005-0000-0000-000002000000}"/>
  </cellStyles>
  <dxfs count="24">
    <dxf>
      <numFmt numFmtId="35" formatCode="_(* #,##0.00_);_(* \(#,##0.00\);_(* &quot;-&quot;??_);_(@_)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ill>
        <patternFill patternType="solid">
          <bgColor rgb="FF92D050"/>
        </patternFill>
      </fill>
    </dxf>
  </dxfs>
  <tableStyles count="0" defaultTableStyle="TableStyleMedium2" defaultPivotStyle="PivotStyleLight16"/>
  <colors>
    <mruColors>
      <color rgb="FFFF99FF"/>
      <color rgb="FFA6EEF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44824</xdr:colOff>
      <xdr:row>42</xdr:row>
      <xdr:rowOff>22412</xdr:rowOff>
    </xdr:from>
    <xdr:to>
      <xdr:col>31</xdr:col>
      <xdr:colOff>437737</xdr:colOff>
      <xdr:row>49</xdr:row>
      <xdr:rowOff>16877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93F1A4-3AE5-49CD-9E5D-C52C4FB09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29412" y="9256059"/>
          <a:ext cx="7800001" cy="1249524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y23%20rec%20work%20file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ork37729" refreshedDate="45392.571778935184" createdVersion="8" refreshedVersion="8" minRefreshableVersion="3" recordCount="776" xr:uid="{17D88AC8-222A-4117-85C6-04D4B55ADDFB}">
  <cacheSource type="worksheet">
    <worksheetSource ref="A1:AB777" sheet="Sheet1" r:id="rId2"/>
  </cacheSource>
  <cacheFields count="31">
    <cacheField name="AccountNumber" numFmtId="0">
      <sharedItems count="2">
        <s v="01-000-1210-202300-0000"/>
        <s v="01-000-1220-202300-0000"/>
      </sharedItems>
    </cacheField>
    <cacheField name="AccountName" numFmtId="0">
      <sharedItems/>
    </cacheField>
    <cacheField name="AcctBegBal" numFmtId="0">
      <sharedItems containsSemiMixedTypes="0" containsString="0" containsNumber="1" containsInteger="1" minValue="0" maxValue="0"/>
    </cacheField>
    <cacheField name="TranTypeId" numFmtId="0">
      <sharedItems containsSemiMixedTypes="0" containsString="0" containsNumber="1" containsInteger="1" minValue="1" maxValue="3"/>
    </cacheField>
    <cacheField name="TranTypeDesc" numFmtId="0">
      <sharedItems count="4">
        <s v="Receivable"/>
        <s v="Journal Entry"/>
        <s v="Payable"/>
        <s v="SETUP Fix"/>
      </sharedItems>
    </cacheField>
    <cacheField name="TranTypeBatchId" numFmtId="0">
      <sharedItems/>
    </cacheField>
    <cacheField name="WarrantId" numFmtId="0">
      <sharedItems containsString="0" containsBlank="1" containsNumber="1" containsInteger="1" minValue="329" maxValue="344"/>
    </cacheField>
    <cacheField name="WarrantName" numFmtId="0">
      <sharedItems/>
    </cacheField>
    <cacheField name="BatchId" numFmtId="0">
      <sharedItems containsSemiMixedTypes="0" containsString="0" containsNumber="1" containsInteger="1" minValue="5019" maxValue="7424"/>
    </cacheField>
    <cacheField name="BlockName" numFmtId="0">
      <sharedItems count="289">
        <s v="CB23.74-11"/>
        <s v="JE"/>
        <s v="CB23 02-02"/>
        <s v="CB23 02-03"/>
        <s v="CB23 02-04"/>
        <s v="CB23 02-05"/>
        <s v="CB23 02-06"/>
        <s v="CB23 02-07"/>
        <s v="CB23 02-08"/>
        <s v="CB23 02-09"/>
        <s v="CB23 02-10"/>
        <s v="CB23 03-01"/>
        <s v="CB23 03-03"/>
        <s v="CB23 03-05"/>
        <s v="CB23 03-06"/>
        <s v="CB23 03-08"/>
        <s v="CB23 03-10"/>
        <s v="CB23 03-11"/>
        <s v="CB23 03-12"/>
        <s v="CB23 03-13"/>
        <s v="CB23 03-14"/>
        <s v="CB23 03-15"/>
        <s v="CB23 03-16"/>
        <s v="CB23 03-17"/>
        <s v="CB23 03-18"/>
        <s v="CB23 03-19"/>
        <s v="CB23 03-20"/>
        <s v="CB23 03-21"/>
        <s v="CB23 04-04"/>
        <s v="CB23 04-05"/>
        <s v="CB23 04-06"/>
        <s v="CB23 04-08"/>
        <s v="CB23 04-10"/>
        <s v="CB23 05-02"/>
        <s v="CB23 05-03"/>
        <s v="CB23 05-04"/>
        <s v="CB23 05-05"/>
        <s v="CB23 05-06"/>
        <s v="CB23 05-07"/>
        <s v="CB23 05-08"/>
        <s v="CB23 05-09"/>
        <s v="CB23 05-10"/>
        <s v="CB23 05-11"/>
        <s v="CB23 05-12"/>
        <s v="CB23 05-13"/>
        <s v="CB23 05-14"/>
        <s v="CB23 06-01"/>
        <s v="CB23 06-02"/>
        <s v="CB23 06-07"/>
        <s v="CB23 06-08"/>
        <s v="CB23 06A-05"/>
        <s v="CB23 06A-06"/>
        <s v="CB23 06A-07"/>
        <s v="CB23 06A-08"/>
        <s v="CB23 06A-09"/>
        <s v="CB23 06A-10"/>
        <s v="CB23 06A-11"/>
        <s v="CB23 06A-12"/>
        <s v="CB23 06A-13"/>
        <s v="CB23 06A-14"/>
        <s v="CB23 06A-15"/>
        <s v="CB23 06A-19"/>
        <s v="CB23 06A-20"/>
        <s v="CB23 06A-21"/>
        <s v="CB23 06-06"/>
        <s v="CB23 04-09"/>
        <s v="CB23 08-01"/>
        <s v="CB23 08-02"/>
        <s v="CB23 08-03"/>
        <s v="CB23 08-07"/>
        <s v="CB23 08-08"/>
        <s v="CB23 08-09"/>
        <s v="CB23 08-10"/>
        <s v="CB23 08-11"/>
        <s v="CB23 08-12"/>
        <s v="CB23 08-13"/>
        <s v="CB23 08-15"/>
        <s v="CB23 09-01"/>
        <s v="CB23 09-02"/>
        <s v="CB23 09-03"/>
        <s v="CB23 09-04"/>
        <s v="CB23 09-05"/>
        <s v="CB23 09-06"/>
        <s v="CB23 09-07"/>
        <s v="CB23 09-08"/>
        <s v="CB23 09-09"/>
        <s v="CB23 09-10"/>
        <s v="CB23 09A-01"/>
        <s v="CB23 09A-03"/>
        <s v="CB23 09A-08"/>
        <s v="CB23 11-06"/>
        <s v="CB23 11-07"/>
        <s v="CB23 11-08"/>
        <s v="CB23 12-01"/>
        <s v="CB23 12-02"/>
        <s v="CB23 12-03"/>
        <s v="CB23 12-04"/>
        <s v="CB23 12-05"/>
        <s v="CB23 12-06"/>
        <s v="CB23 12-08"/>
        <s v="CB23 12-11"/>
        <s v="CB23.15-02"/>
        <s v="CB23.15-03"/>
        <s v="CB23.15-04"/>
        <s v="CB23.12-13"/>
        <s v="CB23 12A-01"/>
        <s v="CB23.12A-03"/>
        <s v="CB23.16-03"/>
        <s v="CB23.06B-02"/>
        <s v="CB23 20-01"/>
        <s v="CB23 20-02"/>
        <s v="CB23 20-03"/>
        <s v="CB23 20-04"/>
        <s v="CB23.20-05"/>
        <s v="CB23.20-09"/>
        <s v="CB23.21-02"/>
        <s v="CB23 09A-16"/>
        <s v="CB23.21-03"/>
        <s v="CB23.21-04"/>
        <s v="CB23.21-05"/>
        <s v="CB23.21-06"/>
        <s v="CB23.21-10"/>
        <s v="CB23.21-11"/>
        <s v="CB23.21-12"/>
        <s v="CB23.22-03"/>
        <s v="CB23.22-05"/>
        <s v="CB23.23-02"/>
        <s v="CB23.23-04"/>
        <s v="CB23.23-06"/>
        <s v="CB23.23-07"/>
        <s v="CB23.23-08"/>
        <s v="CB23.23-09"/>
        <s v="CB23.23-10"/>
        <s v="CB23.23-11"/>
        <s v="CB23.24-02"/>
        <s v="CB23.24-08"/>
        <s v="CB23.21-08"/>
        <s v="CB23 28-01"/>
        <s v="CB23 28-02"/>
        <s v="CB23 28-03"/>
        <s v="CB23.28-05"/>
        <s v="CB23.28-06"/>
        <s v="CB23.28-08"/>
        <s v="CB23.28-07"/>
        <s v="CB23.28-10"/>
        <s v="CB23.28-11"/>
        <s v="CB23.29-01"/>
        <s v="CB23.29-03"/>
        <s v="CB23.30-02"/>
        <s v="CB23.30-04"/>
        <s v="CB23.32-10"/>
        <s v="CB23.34-02"/>
        <s v="CB23.34-04"/>
        <s v="CB23.35-04"/>
        <s v="CB23.35-06"/>
        <s v="CB23.36-01"/>
        <s v="CB23.36-06"/>
        <s v="CB23.65-16"/>
        <s v="CB23.65-17"/>
        <s v="CB23.65-18"/>
        <s v="CB23.66-14"/>
        <s v="CB23.65-19"/>
        <s v="CB23.65-20"/>
        <s v="2023 RE REFUNDS"/>
        <s v="2023-PP REFUNDS"/>
        <s v="CB23.40-01"/>
        <s v="CB23.40-02"/>
        <s v="CB23.40-03"/>
        <s v="CB23.41-09"/>
        <s v="CB23.41-10"/>
        <s v="CB23.41-11"/>
        <s v="CB23.41-12"/>
        <s v="CB23.41-13"/>
        <s v="CB23.40-04"/>
        <s v="CB23.40-06"/>
        <s v="CB23.40-07"/>
        <s v="CB23.48-15"/>
        <s v="CB23.48-16"/>
        <s v="CB23.48-17"/>
        <s v="CB23.48-20"/>
        <s v="CB23.48-21"/>
        <s v="CB23.48-22"/>
        <s v="CB23.40-09"/>
        <s v="CB23.40-10"/>
        <s v="CB23.40-11"/>
        <s v="CB23.40-12"/>
        <s v="CB23.41-01"/>
        <s v="CB23.41-06"/>
        <s v="CB23.41-08"/>
        <s v="CB23.41-02"/>
        <s v="CB23.41-04"/>
        <s v="CB23.41-05"/>
        <s v="CB23.42-03"/>
        <s v="CB23.42-04"/>
        <s v="CB23.42-05"/>
        <s v="CB23.42-06"/>
        <s v="CB23.47-01"/>
        <s v="CB23.48-07"/>
        <s v="CB23.48-08"/>
        <s v="CB23.53-01"/>
        <s v="CB23.53-15"/>
        <s v="CB23.47-02"/>
        <s v="CB23.47-03"/>
        <s v="CB23.53-08"/>
        <s v="CB23.53-21"/>
        <s v="CB23.53-22"/>
        <s v="CB23.59-11"/>
        <s v="CB23.59-12"/>
        <s v="CB23.60-06"/>
        <s v="CB23.60-07"/>
        <s v="REFUND-JOY J. KISER R/E REFUND"/>
        <s v="CB23.60-08"/>
        <s v="CB23.60-09"/>
        <s v="CB23.60-10"/>
        <s v="CB23.60-13"/>
        <s v="CB23.73-04"/>
        <s v="CB23.59-24"/>
        <s v="CB23.60-18"/>
        <s v="CB23.65-15"/>
        <s v="CB23.65-21"/>
        <s v="CB23.65-23"/>
        <s v="CB23.54-19"/>
        <s v="CB23.65-24"/>
        <s v="CB23.66-01"/>
        <s v="CB23.47-04"/>
        <s v="CB23.47-05"/>
        <s v="CB23.53-11"/>
        <s v="CB23.53-12"/>
        <s v="CB23.53-23"/>
        <s v="CB23.54-04"/>
        <s v="CB23.49-05"/>
        <s v="CB23.59-13"/>
        <s v="CB23.59-14"/>
        <s v="CB23.59-15"/>
        <s v="CB23.59-16"/>
        <s v="CB23.47-06"/>
        <s v="CB23.47-07"/>
        <s v="CB23.54-01"/>
        <s v="CB23.54-05"/>
        <s v="CB23.54-06"/>
        <s v="CB23.49-08"/>
        <s v="CB23.49-11"/>
        <s v="CB23.59-17"/>
        <s v="CB23.59-18"/>
        <s v="CB23.47-08"/>
        <s v="CB23.48-06"/>
        <s v="FY23-RE REFUNDS"/>
        <s v="CB23.59-19"/>
        <s v="CB23.59-21"/>
        <s v="CB23.59-20"/>
        <s v="CB23.59-22"/>
        <s v="CB23.32-11"/>
        <s v="CB23.59-23"/>
        <s v="CB23.59.05"/>
        <s v="CB23.60-01"/>
        <s v="CB23.60-02"/>
        <s v="CB23.60-03"/>
        <s v="CB23.60-04"/>
        <s v="CB23.66-03"/>
        <s v="CB23.66-12"/>
        <s v="CB23.48-13"/>
        <s v="CB23.66-06"/>
        <s v="CB23.73-17"/>
        <s v="CB23.73-22"/>
        <s v="CB23.74-02"/>
        <s v="CB23.60-19"/>
        <s v="CB23.74-06"/>
        <s v="CB23.74-13"/>
        <s v="CB23.59-06"/>
        <s v="CB23.59-07"/>
        <s v="CB23.59-08"/>
        <s v="CB23.59-09"/>
        <s v="J23-111"/>
        <s v="J23-112"/>
        <s v="J23-113"/>
        <s v="J23-114"/>
        <s v="J23-115"/>
        <s v="J23-116"/>
        <s v="J23-117"/>
        <s v="J23-118"/>
        <s v="J23-105"/>
        <s v="j23-106"/>
        <s v="J23-107"/>
        <s v="J23-108"/>
        <s v="J23-109"/>
        <s v="J23-110"/>
        <s v="CB23.17-03"/>
        <s v="CB23 14-05"/>
        <s v="CB23.17-04"/>
      </sharedItems>
    </cacheField>
    <cacheField name="BatchName" numFmtId="0">
      <sharedItems/>
    </cacheField>
    <cacheField name="PostDate" numFmtId="164">
      <sharedItems containsSemiMixedTypes="0" containsNonDate="0" containsDate="1" containsString="0" minDate="2022-07-01T00:00:00" maxDate="2023-07-01T00:00:00" count="167">
        <d v="2023-06-30T00:00:00"/>
        <d v="2023-06-07T00:00:00"/>
        <d v="2022-07-01T00:00:00"/>
        <d v="2022-07-05T00:00:00"/>
        <d v="2022-07-02T00:00:00"/>
        <d v="2022-07-03T00:00:00"/>
        <d v="2022-07-04T00:00:00"/>
        <d v="2022-07-06T00:00:00"/>
        <d v="2022-07-07T00:00:00"/>
        <d v="2022-07-08T00:00:00"/>
        <d v="2022-07-11T00:00:00"/>
        <d v="2022-07-09T00:00:00"/>
        <d v="2022-07-10T00:00:00"/>
        <d v="2022-07-12T00:00:00"/>
        <d v="2022-07-14T00:00:00"/>
        <d v="2022-07-15T00:00:00"/>
        <d v="2022-07-16T00:00:00"/>
        <d v="2022-07-17T00:00:00"/>
        <d v="2022-07-18T00:00:00"/>
        <d v="2022-07-20T00:00:00"/>
        <d v="2022-07-21T00:00:00"/>
        <d v="2022-07-22T00:00:00"/>
        <d v="2022-07-23T00:00:00"/>
        <d v="2022-07-24T00:00:00"/>
        <d v="2022-07-25T00:00:00"/>
        <d v="2022-07-26T00:00:00"/>
        <d v="2022-07-19T00:00:00"/>
        <d v="2022-07-27T00:00:00"/>
        <d v="2022-07-28T00:00:00"/>
        <d v="2022-07-29T00:00:00"/>
        <d v="2022-07-30T00:00:00"/>
        <d v="2022-07-13T00:00:00"/>
        <d v="2022-07-31T00:00:00"/>
        <d v="2022-08-01T00:00:00"/>
        <d v="2022-08-02T00:00:00"/>
        <d v="2022-08-03T00:00:00"/>
        <d v="2022-08-04T00:00:00"/>
        <d v="2022-08-05T00:00:00"/>
        <d v="2022-08-07T00:00:00"/>
        <d v="2022-08-08T00:00:00"/>
        <d v="2022-08-09T00:00:00"/>
        <d v="2022-08-11T00:00:00"/>
        <d v="2022-08-16T00:00:00"/>
        <d v="2022-08-15T00:00:00"/>
        <d v="2022-08-24T00:00:00"/>
        <d v="2022-08-30T00:00:00"/>
        <d v="2022-09-13T00:00:00"/>
        <d v="2022-09-16T00:00:00"/>
        <d v="2022-09-20T00:00:00"/>
        <d v="2022-08-19T00:00:00"/>
        <d v="2022-09-28T00:00:00"/>
        <d v="2022-10-07T00:00:00"/>
        <d v="2022-10-14T00:00:00"/>
        <d v="2022-10-21T00:00:00"/>
        <d v="2022-10-31T00:00:00"/>
        <d v="2022-10-03T00:00:00"/>
        <d v="2022-10-05T00:00:00"/>
        <d v="2022-10-06T00:00:00"/>
        <d v="2022-10-11T00:00:00"/>
        <d v="2022-10-12T00:00:00"/>
        <d v="2022-10-17T00:00:00"/>
        <d v="2022-10-18T00:00:00"/>
        <d v="2022-10-19T00:00:00"/>
        <d v="2022-10-20T00:00:00"/>
        <d v="2022-10-24T00:00:00"/>
        <d v="2022-10-25T00:00:00"/>
        <d v="2022-10-26T00:00:00"/>
        <d v="2022-10-27T00:00:00"/>
        <d v="2022-10-28T00:00:00"/>
        <d v="2022-10-13T00:00:00"/>
        <d v="2022-11-04T00:00:00"/>
        <d v="2022-11-11T00:00:00"/>
        <d v="2022-11-18T00:00:00"/>
        <d v="2022-11-01T00:00:00"/>
        <d v="2022-11-07T00:00:00"/>
        <d v="2022-11-10T00:00:00"/>
        <d v="2022-11-15T00:00:00"/>
        <d v="2022-11-22T00:00:00"/>
        <d v="2022-12-02T00:00:00"/>
        <d v="2022-12-08T00:00:00"/>
        <d v="2022-12-15T00:00:00"/>
        <d v="2022-12-20T00:00:00"/>
        <d v="2022-12-30T00:00:00"/>
        <d v="2023-05-01T00:00:00"/>
        <d v="2023-05-02T00:00:00"/>
        <d v="2023-05-03T00:00:00"/>
        <d v="2023-05-18T00:00:00"/>
        <d v="2023-05-04T00:00:00"/>
        <d v="2023-05-05T00:00:00"/>
        <d v="2023-03-29T00:00:00"/>
        <d v="2023-05-24T00:00:00"/>
        <d v="2023-01-03T00:00:00"/>
        <d v="2023-01-04T00:00:00"/>
        <d v="2023-01-05T00:00:00"/>
        <d v="2023-01-20T00:00:00"/>
        <d v="2023-01-24T00:00:00"/>
        <d v="2023-01-25T00:00:00"/>
        <d v="2023-01-26T00:00:00"/>
        <d v="2023-01-06T00:00:00"/>
        <d v="2023-01-09T00:00:00"/>
        <d v="2023-01-10T00:00:00"/>
        <d v="2023-02-01T00:00:00"/>
        <d v="2023-02-09T00:00:00"/>
        <d v="2023-02-10T00:00:00"/>
        <d v="2023-02-13T00:00:00"/>
        <d v="2023-02-14T00:00:00"/>
        <d v="2023-01-11T00:00:00"/>
        <d v="2023-01-12T00:00:00"/>
        <d v="2023-01-13T00:00:00"/>
        <d v="2023-01-17T00:00:00"/>
        <d v="2023-01-18T00:00:00"/>
        <d v="2023-01-19T00:00:00"/>
        <d v="2023-01-27T00:00:00"/>
        <d v="2023-01-29T00:00:00"/>
        <d v="2023-01-30T00:00:00"/>
        <d v="2023-01-31T00:00:00"/>
        <d v="2023-02-08T00:00:00"/>
        <d v="2023-02-07T00:00:00"/>
        <d v="2023-03-24T00:00:00"/>
        <d v="2023-03-13T00:00:00"/>
        <d v="2023-03-07T00:00:00"/>
        <d v="2023-03-20T00:00:00"/>
        <d v="2023-04-11T00:00:00"/>
        <d v="2023-04-13T00:00:00"/>
        <d v="2023-04-24T00:00:00"/>
        <d v="2023-04-25T00:00:00"/>
        <d v="2023-04-26T00:00:00"/>
        <d v="2023-04-27T00:00:00"/>
        <d v="2023-04-28T00:00:00"/>
        <d v="2023-04-29T00:00:00"/>
        <d v="2023-06-28T00:00:00"/>
        <d v="2023-04-30T00:00:00"/>
        <d v="2023-05-10T00:00:00"/>
        <d v="2023-05-22T00:00:00"/>
        <d v="2023-03-02T00:00:00"/>
        <d v="2023-03-08T00:00:00"/>
        <d v="2023-03-22T00:00:00"/>
        <d v="2023-02-22T00:00:00"/>
        <d v="2023-04-14T00:00:00"/>
        <d v="2023-04-17T00:00:00"/>
        <d v="2023-04-12T00:00:00"/>
        <d v="2023-04-18T00:00:00"/>
        <d v="2023-02-06T00:00:00"/>
        <d v="2023-03-28T00:00:00"/>
        <d v="2023-02-28T00:00:00"/>
        <d v="2023-04-03T00:00:00"/>
        <d v="2023-04-10T00:00:00"/>
        <d v="2023-06-14T00:00:00"/>
        <d v="2023-04-20T00:00:00"/>
        <d v="2023-04-19T00:00:00"/>
        <d v="2023-04-21T00:00:00"/>
        <d v="2023-04-06T00:00:00"/>
        <d v="2023-04-07T00:00:00"/>
        <d v="2023-05-23T00:00:00"/>
        <d v="2023-05-31T00:00:00"/>
        <d v="2023-05-26T00:00:00"/>
        <d v="2023-06-12T00:00:00"/>
        <d v="2023-06-26T00:00:00"/>
        <d v="2023-04-04T00:00:00"/>
        <d v="2023-04-05T00:00:00"/>
        <d v="2022-11-30T00:00:00"/>
        <d v="2022-12-31T00:00:00"/>
        <d v="2023-03-31T00:00:00"/>
        <d v="2022-12-27T00:00:00"/>
        <d v="2022-08-31T00:00:00"/>
        <d v="2022-09-30T00:00:00"/>
        <d v="2022-09-29T00:00:00"/>
      </sharedItems>
      <fieldGroup par="30"/>
    </cacheField>
    <cacheField name="EditUser" numFmtId="0">
      <sharedItems/>
    </cacheField>
    <cacheField name="CompletionDate" numFmtId="164">
      <sharedItems containsSemiMixedTypes="0" containsNonDate="0" containsDate="1" containsString="0" minDate="2022-11-01T16:39:36" maxDate="2024-03-17T19:29:31"/>
    </cacheField>
    <cacheField name="Payee" numFmtId="0">
      <sharedItems/>
    </cacheField>
    <cacheField name="TransactionName" numFmtId="0">
      <sharedItems/>
    </cacheField>
    <cacheField name="Comment" numFmtId="0">
      <sharedItems/>
    </cacheField>
    <cacheField name="ynXpost" numFmtId="0">
      <sharedItems/>
    </cacheField>
    <cacheField name="XPostSourceLedgerDesc" numFmtId="0">
      <sharedItems/>
    </cacheField>
    <cacheField name="Beginning" numFmtId="165">
      <sharedItems containsSemiMixedTypes="0" containsString="0" containsNumber="1" containsInteger="1" minValue="0" maxValue="0"/>
    </cacheField>
    <cacheField name="Debit" numFmtId="165">
      <sharedItems containsSemiMixedTypes="0" containsString="0" containsNumber="1" minValue="0" maxValue="35683545.409999996"/>
    </cacheField>
    <cacheField name="Credit" numFmtId="165">
      <sharedItems containsSemiMixedTypes="0" containsString="0" containsNumber="1" minValue="0" maxValue="2666945.61"/>
    </cacheField>
    <cacheField name="Ending" numFmtId="165">
      <sharedItems containsSemiMixedTypes="0" containsString="0" containsNumber="1" minValue="-2666945.61" maxValue="35683545.409999996"/>
    </cacheField>
    <cacheField name="1" numFmtId="0">
      <sharedItems/>
    </cacheField>
    <cacheField name="2" numFmtId="0">
      <sharedItems/>
    </cacheField>
    <cacheField name="3" numFmtId="0">
      <sharedItems/>
    </cacheField>
    <cacheField name="4" numFmtId="0">
      <sharedItems/>
    </cacheField>
    <cacheField name="5" numFmtId="0">
      <sharedItems/>
    </cacheField>
    <cacheField name="Months (PostDate)" numFmtId="0" databaseField="0">
      <fieldGroup base="11">
        <rangePr groupBy="months" startDate="2022-07-01T00:00:00" endDate="2023-07-01T00:00:00"/>
        <groupItems count="14">
          <s v="&lt;7/1/2022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7/1/2023"/>
        </groupItems>
      </fieldGroup>
    </cacheField>
    <cacheField name="Quarters (PostDate)" numFmtId="0" databaseField="0">
      <fieldGroup base="11">
        <rangePr groupBy="quarters" startDate="2022-07-01T00:00:00" endDate="2023-07-01T00:00:00"/>
        <groupItems count="6">
          <s v="&lt;7/1/2022"/>
          <s v="Qtr1"/>
          <s v="Qtr2"/>
          <s v="Qtr3"/>
          <s v="Qtr4"/>
          <s v="&gt;7/1/2023"/>
        </groupItems>
      </fieldGroup>
    </cacheField>
    <cacheField name="Years (PostDate)" numFmtId="0" databaseField="0">
      <fieldGroup base="11">
        <rangePr groupBy="years" startDate="2022-07-01T00:00:00" endDate="2023-07-01T00:00:00"/>
        <groupItems count="4">
          <s v="&lt;7/1/2022"/>
          <s v="2022"/>
          <s v="2023"/>
          <s v="&gt;7/1/20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76">
  <r>
    <x v="0"/>
    <s v="2023 PERSONAL PROPERTY RECEIVABLES"/>
    <n v="0"/>
    <n v="3"/>
    <x v="0"/>
    <s v="Receivable6577"/>
    <m/>
    <s v=""/>
    <n v="6577"/>
    <x v="0"/>
    <s v="23.06"/>
    <x v="0"/>
    <s v="jmcgovern"/>
    <d v="2023-09-26T15:33:20"/>
    <s v=""/>
    <s v=""/>
    <s v="CRT Transaction"/>
    <b v="1"/>
    <s v="Rev"/>
    <n v="0"/>
    <n v="0"/>
    <n v="28831.43"/>
    <n v="-28831.43"/>
    <s v="01"/>
    <s v="000"/>
    <s v="1210"/>
    <s v="202300"/>
    <s v="0000"/>
  </r>
  <r>
    <x v="0"/>
    <s v="2023 PERSONAL PROPERTY RECEIVABLES"/>
    <n v="0"/>
    <n v="1"/>
    <x v="1"/>
    <s v="Journal Entry7037"/>
    <m/>
    <s v=""/>
    <n v="7037"/>
    <x v="1"/>
    <s v="J23-93"/>
    <x v="1"/>
    <s v="klaplant"/>
    <d v="2023-11-20T15:04:21"/>
    <s v="J23-93"/>
    <s v="617"/>
    <s v="RECIND PP ABATEMENTS JUNE 2023"/>
    <b v="0"/>
    <s v=""/>
    <n v="0"/>
    <n v="2486.7600000000002"/>
    <n v="0"/>
    <n v="2486.7600000000002"/>
    <s v="01"/>
    <s v="000"/>
    <s v="1210"/>
    <s v="202300"/>
    <s v="0000"/>
  </r>
  <r>
    <x v="0"/>
    <s v="2023 PERSONAL PROPERTY RECEIVABLES"/>
    <n v="0"/>
    <n v="1"/>
    <x v="1"/>
    <s v="Journal Entry7038"/>
    <m/>
    <s v=""/>
    <n v="7038"/>
    <x v="1"/>
    <s v="J23-94"/>
    <x v="0"/>
    <s v="klaplant"/>
    <d v="2023-11-20T15:06:11"/>
    <s v="J23-94"/>
    <s v="618"/>
    <s v="JUNE 2023 PP ABATEMENT"/>
    <b v="0"/>
    <s v=""/>
    <n v="0"/>
    <n v="0"/>
    <n v="2247.33"/>
    <n v="-2247.33"/>
    <s v="01"/>
    <s v="000"/>
    <s v="1210"/>
    <s v="202300"/>
    <s v="0000"/>
  </r>
  <r>
    <x v="0"/>
    <s v="2023 PERSONAL PROPERTY RECEIVABLES"/>
    <n v="0"/>
    <n v="3"/>
    <x v="0"/>
    <s v="Receivable5220"/>
    <m/>
    <s v=""/>
    <n v="5220"/>
    <x v="2"/>
    <s v="22.07"/>
    <x v="2"/>
    <s v="jmcgovern"/>
    <d v="2022-11-01T16:39:36"/>
    <s v=""/>
    <s v=""/>
    <s v="CRT Transaction"/>
    <b v="1"/>
    <s v="Rev"/>
    <n v="0"/>
    <n v="0"/>
    <n v="30947.22"/>
    <n v="-30947.22"/>
    <s v="01"/>
    <s v="000"/>
    <s v="1210"/>
    <s v="202300"/>
    <s v="0000"/>
  </r>
  <r>
    <x v="0"/>
    <s v="2023 PERSONAL PROPERTY RECEIVABLES"/>
    <n v="0"/>
    <n v="3"/>
    <x v="0"/>
    <s v="Receivable5221"/>
    <m/>
    <s v=""/>
    <n v="5221"/>
    <x v="3"/>
    <s v="22.07"/>
    <x v="3"/>
    <s v="jmcgovern"/>
    <d v="2022-11-02T09:50:26"/>
    <s v=""/>
    <s v=""/>
    <s v="CRT Transaction"/>
    <b v="1"/>
    <s v="Rev"/>
    <n v="0"/>
    <n v="0"/>
    <n v="17262.28"/>
    <n v="-17262.28"/>
    <s v="01"/>
    <s v="000"/>
    <s v="1210"/>
    <s v="202300"/>
    <s v="0000"/>
  </r>
  <r>
    <x v="0"/>
    <s v="2023 PERSONAL PROPERTY RECEIVABLES"/>
    <n v="0"/>
    <n v="3"/>
    <x v="0"/>
    <s v="Receivable5222"/>
    <m/>
    <s v=""/>
    <n v="5222"/>
    <x v="4"/>
    <s v="22.07"/>
    <x v="2"/>
    <s v="jmcgovern"/>
    <d v="2022-11-02T09:54:17"/>
    <s v=""/>
    <s v=""/>
    <s v="CRT Transaction"/>
    <b v="1"/>
    <s v="Rev"/>
    <n v="0"/>
    <n v="0"/>
    <n v="10197.11"/>
    <n v="-10197.11"/>
    <s v="01"/>
    <s v="000"/>
    <s v="1210"/>
    <s v="202300"/>
    <s v="0000"/>
  </r>
  <r>
    <x v="0"/>
    <s v="2023 PERSONAL PROPERTY RECEIVABLES"/>
    <n v="0"/>
    <n v="3"/>
    <x v="0"/>
    <s v="Receivable5223"/>
    <m/>
    <s v=""/>
    <n v="5223"/>
    <x v="5"/>
    <s v="22.07"/>
    <x v="2"/>
    <s v="jmcgovern"/>
    <d v="2022-11-02T09:57:38"/>
    <s v=""/>
    <s v=""/>
    <s v="CRT Transaction"/>
    <b v="1"/>
    <s v="Rev"/>
    <n v="0"/>
    <n v="0"/>
    <n v="123203.87"/>
    <n v="-123203.87"/>
    <s v="01"/>
    <s v="000"/>
    <s v="1210"/>
    <s v="202300"/>
    <s v="0000"/>
  </r>
  <r>
    <x v="0"/>
    <s v="2023 PERSONAL PROPERTY RECEIVABLES"/>
    <n v="0"/>
    <n v="3"/>
    <x v="0"/>
    <s v="Receivable5224"/>
    <m/>
    <s v=""/>
    <n v="5224"/>
    <x v="6"/>
    <s v="22.07"/>
    <x v="2"/>
    <s v="jmcgovern"/>
    <d v="2022-11-02T10:02:18"/>
    <s v=""/>
    <s v=""/>
    <s v="CRT Transaction"/>
    <b v="1"/>
    <s v="Rev"/>
    <n v="0"/>
    <n v="0"/>
    <n v="38.94"/>
    <n v="-38.94"/>
    <s v="01"/>
    <s v="000"/>
    <s v="1210"/>
    <s v="202300"/>
    <s v="0000"/>
  </r>
  <r>
    <x v="0"/>
    <s v="2023 PERSONAL PROPERTY RECEIVABLES"/>
    <n v="0"/>
    <n v="3"/>
    <x v="0"/>
    <s v="Receivable5224"/>
    <m/>
    <s v=""/>
    <n v="5224"/>
    <x v="6"/>
    <s v="22.07"/>
    <x v="2"/>
    <s v="jmcgovern"/>
    <d v="2022-11-02T10:02:18"/>
    <s v=""/>
    <s v=""/>
    <s v="CRT Transaction"/>
    <b v="1"/>
    <s v="Rev"/>
    <n v="0"/>
    <n v="0"/>
    <n v="93589.52"/>
    <n v="-93589.52"/>
    <s v="01"/>
    <s v="000"/>
    <s v="1210"/>
    <s v="202300"/>
    <s v="0000"/>
  </r>
  <r>
    <x v="0"/>
    <s v="2023 PERSONAL PROPERTY RECEIVABLES"/>
    <n v="0"/>
    <n v="3"/>
    <x v="0"/>
    <s v="Receivable5225"/>
    <m/>
    <s v=""/>
    <n v="5225"/>
    <x v="7"/>
    <s v="22.07"/>
    <x v="2"/>
    <s v="jmcgovern"/>
    <d v="2022-11-02T10:07:06"/>
    <s v=""/>
    <s v=""/>
    <s v="CRT Transaction"/>
    <b v="1"/>
    <s v="Rev"/>
    <n v="0"/>
    <n v="0"/>
    <n v="42026.080000000002"/>
    <n v="-42026.080000000002"/>
    <s v="01"/>
    <s v="000"/>
    <s v="1210"/>
    <s v="202300"/>
    <s v="0000"/>
  </r>
  <r>
    <x v="0"/>
    <s v="2023 PERSONAL PROPERTY RECEIVABLES"/>
    <n v="0"/>
    <n v="3"/>
    <x v="0"/>
    <s v="Receivable5226"/>
    <m/>
    <s v=""/>
    <n v="5226"/>
    <x v="8"/>
    <s v="22.07"/>
    <x v="2"/>
    <s v="jmcgovern"/>
    <d v="2022-11-02T10:09:22"/>
    <s v=""/>
    <s v=""/>
    <s v="CRT Transaction"/>
    <b v="1"/>
    <s v="Rev"/>
    <n v="0"/>
    <n v="0"/>
    <n v="81.12"/>
    <n v="-81.12"/>
    <s v="01"/>
    <s v="000"/>
    <s v="1210"/>
    <s v="202300"/>
    <s v="0000"/>
  </r>
  <r>
    <x v="0"/>
    <s v="2023 PERSONAL PROPERTY RECEIVABLES"/>
    <n v="0"/>
    <n v="3"/>
    <x v="0"/>
    <s v="Receivable5226"/>
    <m/>
    <s v=""/>
    <n v="5226"/>
    <x v="8"/>
    <s v="22.07"/>
    <x v="2"/>
    <s v="jmcgovern"/>
    <d v="2022-11-02T10:09:22"/>
    <s v=""/>
    <s v=""/>
    <s v="CRT Transaction"/>
    <b v="1"/>
    <s v="Rev"/>
    <n v="0"/>
    <n v="0"/>
    <n v="74245.91"/>
    <n v="-74245.91"/>
    <s v="01"/>
    <s v="000"/>
    <s v="1210"/>
    <s v="202300"/>
    <s v="0000"/>
  </r>
  <r>
    <x v="0"/>
    <s v="2023 PERSONAL PROPERTY RECEIVABLES"/>
    <n v="0"/>
    <n v="3"/>
    <x v="0"/>
    <s v="Receivable5227"/>
    <m/>
    <s v=""/>
    <n v="5227"/>
    <x v="9"/>
    <s v="22.07"/>
    <x v="3"/>
    <s v="jmcgovern"/>
    <d v="2022-11-02T10:12:59"/>
    <s v=""/>
    <s v=""/>
    <s v="CRT Transaction"/>
    <b v="1"/>
    <s v="Rev"/>
    <n v="0"/>
    <n v="0"/>
    <n v="119.08"/>
    <n v="-119.08"/>
    <s v="01"/>
    <s v="000"/>
    <s v="1210"/>
    <s v="202300"/>
    <s v="0000"/>
  </r>
  <r>
    <x v="0"/>
    <s v="2023 PERSONAL PROPERTY RECEIVABLES"/>
    <n v="0"/>
    <n v="3"/>
    <x v="0"/>
    <s v="Receivable5227"/>
    <m/>
    <s v=""/>
    <n v="5227"/>
    <x v="9"/>
    <s v="22.07"/>
    <x v="3"/>
    <s v="jmcgovern"/>
    <d v="2022-11-02T10:12:59"/>
    <s v=""/>
    <s v=""/>
    <s v="CRT Transaction"/>
    <b v="1"/>
    <s v="Rev"/>
    <n v="0"/>
    <n v="0"/>
    <n v="151352.95999999999"/>
    <n v="-151352.95999999999"/>
    <s v="01"/>
    <s v="000"/>
    <s v="1210"/>
    <s v="202300"/>
    <s v="0000"/>
  </r>
  <r>
    <x v="0"/>
    <s v="2023 PERSONAL PROPERTY RECEIVABLES"/>
    <n v="0"/>
    <n v="3"/>
    <x v="0"/>
    <s v="Receivable5228"/>
    <m/>
    <s v=""/>
    <n v="5228"/>
    <x v="10"/>
    <s v="22.07"/>
    <x v="2"/>
    <s v="jmcgovern"/>
    <d v="2022-11-02T10:16:32"/>
    <s v=""/>
    <s v=""/>
    <s v="CRT Transaction"/>
    <b v="1"/>
    <s v="Rev"/>
    <n v="0"/>
    <n v="0"/>
    <n v="80565.88"/>
    <n v="-80565.88"/>
    <s v="01"/>
    <s v="000"/>
    <s v="1210"/>
    <s v="202300"/>
    <s v="0000"/>
  </r>
  <r>
    <x v="0"/>
    <s v="2023 PERSONAL PROPERTY RECEIVABLES"/>
    <n v="0"/>
    <n v="3"/>
    <x v="0"/>
    <s v="Receivable5019"/>
    <m/>
    <s v=""/>
    <n v="5019"/>
    <x v="11"/>
    <s v="22.07"/>
    <x v="2"/>
    <s v="jmcgovern"/>
    <d v="2022-11-02T10:41:28"/>
    <s v=""/>
    <s v=""/>
    <s v="CRT Transaction"/>
    <b v="1"/>
    <s v="Rev"/>
    <n v="0"/>
    <n v="0"/>
    <n v="10774.12"/>
    <n v="-10774.12"/>
    <s v="01"/>
    <s v="000"/>
    <s v="1210"/>
    <s v="202300"/>
    <s v="0000"/>
  </r>
  <r>
    <x v="0"/>
    <s v="2023 PERSONAL PROPERTY RECEIVABLES"/>
    <n v="0"/>
    <n v="3"/>
    <x v="0"/>
    <s v="Receivable5020"/>
    <m/>
    <s v=""/>
    <n v="5020"/>
    <x v="12"/>
    <s v="22.07"/>
    <x v="4"/>
    <s v="jmcgovern"/>
    <d v="2022-11-02T10:52:59"/>
    <s v=""/>
    <s v=""/>
    <s v="CRT Transaction"/>
    <b v="1"/>
    <s v="Rev"/>
    <n v="0"/>
    <n v="0"/>
    <n v="15215.49"/>
    <n v="-15215.49"/>
    <s v="01"/>
    <s v="000"/>
    <s v="1210"/>
    <s v="202300"/>
    <s v="0000"/>
  </r>
  <r>
    <x v="0"/>
    <s v="2023 PERSONAL PROPERTY RECEIVABLES"/>
    <n v="0"/>
    <n v="3"/>
    <x v="0"/>
    <s v="Receivable5021"/>
    <m/>
    <s v=""/>
    <n v="5021"/>
    <x v="13"/>
    <s v="22.07"/>
    <x v="5"/>
    <s v="jmcgovern"/>
    <d v="2022-11-02T10:58:10"/>
    <s v=""/>
    <s v=""/>
    <s v="CRT Transaction"/>
    <b v="1"/>
    <s v="Rev"/>
    <n v="0"/>
    <n v="0"/>
    <n v="13696.22"/>
    <n v="-13696.22"/>
    <s v="01"/>
    <s v="000"/>
    <s v="1210"/>
    <s v="202300"/>
    <s v="0000"/>
  </r>
  <r>
    <x v="0"/>
    <s v="2023 PERSONAL PROPERTY RECEIVABLES"/>
    <n v="0"/>
    <n v="3"/>
    <x v="0"/>
    <s v="Receivable5022"/>
    <m/>
    <s v=""/>
    <n v="5022"/>
    <x v="14"/>
    <s v="22.07"/>
    <x v="6"/>
    <s v="jmcgovern"/>
    <d v="2022-11-02T11:00:58"/>
    <s v=""/>
    <s v=""/>
    <s v="CRT Transaction"/>
    <b v="1"/>
    <s v="Rev"/>
    <n v="0"/>
    <n v="0"/>
    <n v="11191.39"/>
    <n v="-11191.39"/>
    <s v="01"/>
    <s v="000"/>
    <s v="1210"/>
    <s v="202300"/>
    <s v="0000"/>
  </r>
  <r>
    <x v="0"/>
    <s v="2023 PERSONAL PROPERTY RECEIVABLES"/>
    <n v="0"/>
    <n v="3"/>
    <x v="0"/>
    <s v="Receivable5023"/>
    <m/>
    <s v=""/>
    <n v="5023"/>
    <x v="15"/>
    <s v="22.07"/>
    <x v="3"/>
    <s v="jmcgovern"/>
    <d v="2022-11-02T11:05:59"/>
    <s v=""/>
    <s v=""/>
    <s v="CRT Transaction"/>
    <b v="1"/>
    <s v="Rev"/>
    <n v="0"/>
    <n v="0"/>
    <n v="22372.7"/>
    <n v="-22372.7"/>
    <s v="01"/>
    <s v="000"/>
    <s v="1210"/>
    <s v="202300"/>
    <s v="0000"/>
  </r>
  <r>
    <x v="0"/>
    <s v="2023 PERSONAL PROPERTY RECEIVABLES"/>
    <n v="0"/>
    <n v="3"/>
    <x v="0"/>
    <s v="Receivable5024"/>
    <m/>
    <s v=""/>
    <n v="5024"/>
    <x v="16"/>
    <s v="22.07"/>
    <x v="7"/>
    <s v="jmcgovern"/>
    <d v="2022-11-02T11:10:45"/>
    <s v=""/>
    <s v=""/>
    <s v="CRT Transaction"/>
    <b v="1"/>
    <s v="Rev"/>
    <n v="0"/>
    <n v="0"/>
    <n v="14809.91"/>
    <n v="-14809.91"/>
    <s v="01"/>
    <s v="000"/>
    <s v="1210"/>
    <s v="202300"/>
    <s v="0000"/>
  </r>
  <r>
    <x v="0"/>
    <s v="2023 PERSONAL PROPERTY RECEIVABLES"/>
    <n v="0"/>
    <n v="3"/>
    <x v="0"/>
    <s v="Receivable5025"/>
    <m/>
    <s v=""/>
    <n v="5025"/>
    <x v="17"/>
    <s v="22.07"/>
    <x v="8"/>
    <s v="jmcgovern"/>
    <d v="2022-11-02T11:12:59"/>
    <s v=""/>
    <s v=""/>
    <s v="CRT Transaction"/>
    <b v="1"/>
    <s v="Rev"/>
    <n v="0"/>
    <n v="0"/>
    <n v="29003.63"/>
    <n v="-29003.63"/>
    <s v="01"/>
    <s v="000"/>
    <s v="1210"/>
    <s v="202300"/>
    <s v="0000"/>
  </r>
  <r>
    <x v="0"/>
    <s v="2023 PERSONAL PROPERTY RECEIVABLES"/>
    <n v="0"/>
    <n v="3"/>
    <x v="0"/>
    <s v="Receivable5230"/>
    <m/>
    <s v=""/>
    <n v="5230"/>
    <x v="18"/>
    <s v="22.07"/>
    <x v="8"/>
    <s v="jmcgovern"/>
    <d v="2022-11-02T11:19:49"/>
    <s v=""/>
    <s v=""/>
    <s v="CRT Transaction"/>
    <b v="1"/>
    <s v="Rev"/>
    <n v="0"/>
    <n v="0"/>
    <n v="84.62"/>
    <n v="-84.62"/>
    <s v="01"/>
    <s v="000"/>
    <s v="1210"/>
    <s v="202300"/>
    <s v="0000"/>
  </r>
  <r>
    <x v="0"/>
    <s v="2023 PERSONAL PROPERTY RECEIVABLES"/>
    <n v="0"/>
    <n v="3"/>
    <x v="0"/>
    <s v="Receivable5230"/>
    <m/>
    <s v=""/>
    <n v="5230"/>
    <x v="18"/>
    <s v="22.07"/>
    <x v="8"/>
    <s v="jmcgovern"/>
    <d v="2022-11-02T11:19:49"/>
    <s v=""/>
    <s v=""/>
    <s v="CRT Transaction"/>
    <b v="1"/>
    <s v="Rev"/>
    <n v="0"/>
    <n v="0"/>
    <n v="92373"/>
    <n v="-92373"/>
    <s v="01"/>
    <s v="000"/>
    <s v="1210"/>
    <s v="202300"/>
    <s v="0000"/>
  </r>
  <r>
    <x v="0"/>
    <s v="2023 PERSONAL PROPERTY RECEIVABLES"/>
    <n v="0"/>
    <n v="3"/>
    <x v="0"/>
    <s v="Receivable5231"/>
    <m/>
    <s v=""/>
    <n v="5231"/>
    <x v="19"/>
    <s v="22.07"/>
    <x v="9"/>
    <s v="jmcgovern"/>
    <d v="2022-11-02T11:23:31"/>
    <s v=""/>
    <s v=""/>
    <s v="CRT Transaction"/>
    <b v="1"/>
    <s v="Rev"/>
    <n v="0"/>
    <n v="0"/>
    <n v="60455.74"/>
    <n v="-60455.74"/>
    <s v="01"/>
    <s v="000"/>
    <s v="1210"/>
    <s v="202300"/>
    <s v="0000"/>
  </r>
  <r>
    <x v="0"/>
    <s v="2023 PERSONAL PROPERTY RECEIVABLES"/>
    <n v="0"/>
    <n v="3"/>
    <x v="0"/>
    <s v="Receivable5232"/>
    <m/>
    <s v=""/>
    <n v="5232"/>
    <x v="20"/>
    <s v="22.07"/>
    <x v="10"/>
    <s v="jmcgovern"/>
    <d v="2022-11-02T11:24:54"/>
    <s v=""/>
    <s v=""/>
    <s v="CRT Transaction"/>
    <b v="1"/>
    <s v="Rev"/>
    <n v="0"/>
    <n v="0"/>
    <n v="117658.34"/>
    <n v="-117658.34"/>
    <s v="01"/>
    <s v="000"/>
    <s v="1210"/>
    <s v="202300"/>
    <s v="0000"/>
  </r>
  <r>
    <x v="0"/>
    <s v="2023 PERSONAL PROPERTY RECEIVABLES"/>
    <n v="0"/>
    <n v="3"/>
    <x v="0"/>
    <s v="Receivable5026"/>
    <m/>
    <s v=""/>
    <n v="5026"/>
    <x v="21"/>
    <s v="22.07"/>
    <x v="9"/>
    <s v="jmcgovern"/>
    <d v="2022-11-02T11:29:16"/>
    <s v=""/>
    <s v=""/>
    <s v="CRT Transaction"/>
    <b v="1"/>
    <s v="Rev"/>
    <n v="0"/>
    <n v="0"/>
    <n v="38.94"/>
    <n v="-38.94"/>
    <s v="01"/>
    <s v="000"/>
    <s v="1210"/>
    <s v="202300"/>
    <s v="0000"/>
  </r>
  <r>
    <x v="0"/>
    <s v="2023 PERSONAL PROPERTY RECEIVABLES"/>
    <n v="0"/>
    <n v="3"/>
    <x v="0"/>
    <s v="Receivable5027"/>
    <m/>
    <s v=""/>
    <n v="5027"/>
    <x v="22"/>
    <s v="22.07"/>
    <x v="9"/>
    <s v="jmcgovern"/>
    <d v="2022-11-02T11:29:35"/>
    <s v=""/>
    <s v=""/>
    <s v="CRT Transaction"/>
    <b v="1"/>
    <s v="Rev"/>
    <n v="0"/>
    <n v="0"/>
    <n v="19337.59"/>
    <n v="-19337.59"/>
    <s v="01"/>
    <s v="000"/>
    <s v="1210"/>
    <s v="202300"/>
    <s v="0000"/>
  </r>
  <r>
    <x v="0"/>
    <s v="2023 PERSONAL PROPERTY RECEIVABLES"/>
    <n v="0"/>
    <n v="3"/>
    <x v="0"/>
    <s v="Receivable5028"/>
    <m/>
    <s v=""/>
    <n v="5028"/>
    <x v="23"/>
    <s v="22.07"/>
    <x v="11"/>
    <s v="jmcgovern"/>
    <d v="2022-11-02T11:30:02"/>
    <s v=""/>
    <s v=""/>
    <s v="CRT Transaction"/>
    <b v="1"/>
    <s v="Rev"/>
    <n v="0"/>
    <n v="0"/>
    <n v="9346.1200000000008"/>
    <n v="-9346.1200000000008"/>
    <s v="01"/>
    <s v="000"/>
    <s v="1210"/>
    <s v="202300"/>
    <s v="0000"/>
  </r>
  <r>
    <x v="0"/>
    <s v="2023 PERSONAL PROPERTY RECEIVABLES"/>
    <n v="0"/>
    <n v="3"/>
    <x v="0"/>
    <s v="Receivable5029"/>
    <m/>
    <s v=""/>
    <n v="5029"/>
    <x v="24"/>
    <s v="22.07"/>
    <x v="12"/>
    <s v="jmcgovern"/>
    <d v="2022-11-02T11:30:20"/>
    <s v=""/>
    <s v=""/>
    <s v="CRT Transaction"/>
    <b v="1"/>
    <s v="Rev"/>
    <n v="0"/>
    <n v="0"/>
    <n v="10347.44"/>
    <n v="-10347.44"/>
    <s v="01"/>
    <s v="000"/>
    <s v="1210"/>
    <s v="202300"/>
    <s v="0000"/>
  </r>
  <r>
    <x v="0"/>
    <s v="2023 PERSONAL PROPERTY RECEIVABLES"/>
    <n v="0"/>
    <n v="3"/>
    <x v="0"/>
    <s v="Receivable5030"/>
    <m/>
    <s v=""/>
    <n v="5030"/>
    <x v="25"/>
    <s v="22.07"/>
    <x v="10"/>
    <s v="jmcgovern"/>
    <d v="2022-11-02T11:40:08"/>
    <s v=""/>
    <s v=""/>
    <s v="CRT Transaction"/>
    <b v="1"/>
    <s v="Rev"/>
    <n v="0"/>
    <n v="0"/>
    <n v="21188.71"/>
    <n v="-21188.71"/>
    <s v="01"/>
    <s v="000"/>
    <s v="1210"/>
    <s v="202300"/>
    <s v="0000"/>
  </r>
  <r>
    <x v="0"/>
    <s v="2023 PERSONAL PROPERTY RECEIVABLES"/>
    <n v="0"/>
    <n v="3"/>
    <x v="0"/>
    <s v="Receivable5031"/>
    <m/>
    <s v=""/>
    <n v="5031"/>
    <x v="26"/>
    <s v="22.07"/>
    <x v="13"/>
    <s v="jmcgovern"/>
    <d v="2022-11-02T11:40:28"/>
    <s v=""/>
    <s v=""/>
    <s v="CRT Transaction"/>
    <b v="1"/>
    <s v="Rev"/>
    <n v="0"/>
    <n v="0"/>
    <n v="3923.2"/>
    <n v="-3923.2"/>
    <s v="01"/>
    <s v="000"/>
    <s v="1210"/>
    <s v="202300"/>
    <s v="0000"/>
  </r>
  <r>
    <x v="0"/>
    <s v="2023 PERSONAL PROPERTY RECEIVABLES"/>
    <n v="0"/>
    <n v="3"/>
    <x v="0"/>
    <s v="Receivable5032"/>
    <m/>
    <s v=""/>
    <n v="5032"/>
    <x v="27"/>
    <s v="22.07"/>
    <x v="14"/>
    <s v="jmcgovern"/>
    <d v="2022-11-02T11:40:47"/>
    <s v=""/>
    <s v=""/>
    <s v="CRT Transaction"/>
    <b v="1"/>
    <s v="Rev"/>
    <n v="0"/>
    <n v="0"/>
    <n v="15161.96"/>
    <n v="-15161.96"/>
    <s v="01"/>
    <s v="000"/>
    <s v="1210"/>
    <s v="202300"/>
    <s v="0000"/>
  </r>
  <r>
    <x v="0"/>
    <s v="2023 PERSONAL PROPERTY RECEIVABLES"/>
    <n v="0"/>
    <n v="3"/>
    <x v="0"/>
    <s v="Receivable5033"/>
    <m/>
    <s v=""/>
    <n v="5033"/>
    <x v="28"/>
    <s v="22.07"/>
    <x v="15"/>
    <s v="jmcgovern"/>
    <d v="2022-11-02T12:30:05"/>
    <s v=""/>
    <s v=""/>
    <s v="CRT Transaction"/>
    <b v="1"/>
    <s v="Rev"/>
    <n v="0"/>
    <n v="0"/>
    <n v="81465.009999999995"/>
    <n v="-81465.009999999995"/>
    <s v="01"/>
    <s v="000"/>
    <s v="1210"/>
    <s v="202300"/>
    <s v="0000"/>
  </r>
  <r>
    <x v="0"/>
    <s v="2023 PERSONAL PROPERTY RECEIVABLES"/>
    <n v="0"/>
    <n v="3"/>
    <x v="0"/>
    <s v="Receivable5034"/>
    <m/>
    <s v=""/>
    <n v="5034"/>
    <x v="29"/>
    <s v="22.07"/>
    <x v="16"/>
    <s v="jmcgovern"/>
    <d v="2022-11-02T12:32:52"/>
    <s v=""/>
    <s v=""/>
    <s v="CRT Transaction"/>
    <b v="1"/>
    <s v="Rev"/>
    <n v="0"/>
    <n v="0"/>
    <n v="8141.68"/>
    <n v="-8141.68"/>
    <s v="01"/>
    <s v="000"/>
    <s v="1210"/>
    <s v="202300"/>
    <s v="0000"/>
  </r>
  <r>
    <x v="0"/>
    <s v="2023 PERSONAL PROPERTY RECEIVABLES"/>
    <n v="0"/>
    <n v="3"/>
    <x v="0"/>
    <s v="Receivable5035"/>
    <m/>
    <s v=""/>
    <n v="5035"/>
    <x v="30"/>
    <s v="22.07"/>
    <x v="17"/>
    <s v="jmcgovern"/>
    <d v="2022-11-02T12:34:55"/>
    <s v=""/>
    <s v=""/>
    <s v="CRT Transaction"/>
    <b v="1"/>
    <s v="Rev"/>
    <n v="0"/>
    <n v="0"/>
    <n v="8541.42"/>
    <n v="-8541.42"/>
    <s v="01"/>
    <s v="000"/>
    <s v="1210"/>
    <s v="202300"/>
    <s v="0000"/>
  </r>
  <r>
    <x v="0"/>
    <s v="2023 PERSONAL PROPERTY RECEIVABLES"/>
    <n v="0"/>
    <n v="3"/>
    <x v="0"/>
    <s v="Receivable5037"/>
    <m/>
    <s v=""/>
    <n v="5037"/>
    <x v="31"/>
    <s v="22.07"/>
    <x v="18"/>
    <s v="jmcgovern"/>
    <d v="2022-11-02T12:40:00"/>
    <s v=""/>
    <s v=""/>
    <s v="CRT Transaction"/>
    <b v="1"/>
    <s v="Rev"/>
    <n v="0"/>
    <n v="0"/>
    <n v="20179.259999999998"/>
    <n v="-20179.259999999998"/>
    <s v="01"/>
    <s v="000"/>
    <s v="1210"/>
    <s v="202300"/>
    <s v="0000"/>
  </r>
  <r>
    <x v="0"/>
    <s v="2023 PERSONAL PROPERTY RECEIVABLES"/>
    <n v="0"/>
    <n v="3"/>
    <x v="0"/>
    <s v="Receivable5039"/>
    <m/>
    <s v=""/>
    <n v="5039"/>
    <x v="32"/>
    <s v="22.07"/>
    <x v="19"/>
    <s v="jmcgovern"/>
    <d v="2022-11-02T12:44:27"/>
    <s v=""/>
    <s v=""/>
    <s v="CRT Transaction"/>
    <b v="1"/>
    <s v="Rev"/>
    <n v="0"/>
    <n v="0"/>
    <n v="5907.02"/>
    <n v="-5907.02"/>
    <s v="01"/>
    <s v="000"/>
    <s v="1210"/>
    <s v="202300"/>
    <s v="0000"/>
  </r>
  <r>
    <x v="0"/>
    <s v="2023 PERSONAL PROPERTY RECEIVABLES"/>
    <n v="0"/>
    <n v="3"/>
    <x v="0"/>
    <s v="Receivable5041"/>
    <m/>
    <s v=""/>
    <n v="5041"/>
    <x v="33"/>
    <s v="22.07"/>
    <x v="20"/>
    <s v="jmcgovern"/>
    <d v="2022-11-02T13:45:59"/>
    <s v=""/>
    <s v=""/>
    <s v="CRT Transaction"/>
    <b v="1"/>
    <s v="Rev"/>
    <n v="0"/>
    <n v="0"/>
    <n v="19316.169999999998"/>
    <n v="-19316.169999999998"/>
    <s v="01"/>
    <s v="000"/>
    <s v="1210"/>
    <s v="202300"/>
    <s v="0000"/>
  </r>
  <r>
    <x v="0"/>
    <s v="2023 PERSONAL PROPERTY RECEIVABLES"/>
    <n v="0"/>
    <n v="3"/>
    <x v="0"/>
    <s v="Receivable5042"/>
    <m/>
    <s v=""/>
    <n v="5042"/>
    <x v="34"/>
    <s v="22.07"/>
    <x v="21"/>
    <s v="jmcgovern"/>
    <d v="2022-11-02T13:49:15"/>
    <s v=""/>
    <s v=""/>
    <s v="CRT Transaction"/>
    <b v="1"/>
    <s v="Rev"/>
    <n v="0"/>
    <n v="0"/>
    <n v="26841.68"/>
    <n v="-26841.68"/>
    <s v="01"/>
    <s v="000"/>
    <s v="1210"/>
    <s v="202300"/>
    <s v="0000"/>
  </r>
  <r>
    <x v="0"/>
    <s v="2023 PERSONAL PROPERTY RECEIVABLES"/>
    <n v="0"/>
    <n v="3"/>
    <x v="0"/>
    <s v="Receivable5043"/>
    <m/>
    <s v=""/>
    <n v="5043"/>
    <x v="35"/>
    <s v="22.07"/>
    <x v="22"/>
    <s v="jmcgovern"/>
    <d v="2022-11-02T13:51:46"/>
    <s v=""/>
    <s v=""/>
    <s v="CRT Transaction"/>
    <b v="1"/>
    <s v="Rev"/>
    <n v="0"/>
    <n v="0"/>
    <n v="12035.67"/>
    <n v="-12035.67"/>
    <s v="01"/>
    <s v="000"/>
    <s v="1210"/>
    <s v="202300"/>
    <s v="0000"/>
  </r>
  <r>
    <x v="0"/>
    <s v="2023 PERSONAL PROPERTY RECEIVABLES"/>
    <n v="0"/>
    <n v="3"/>
    <x v="0"/>
    <s v="Receivable5044"/>
    <m/>
    <s v=""/>
    <n v="5044"/>
    <x v="36"/>
    <s v="22.07"/>
    <x v="23"/>
    <s v="jmcgovern"/>
    <d v="2022-11-02T13:54:21"/>
    <s v=""/>
    <s v=""/>
    <s v="CRT Transaction"/>
    <b v="1"/>
    <s v="Rev"/>
    <n v="0"/>
    <n v="0"/>
    <n v="15383.9"/>
    <n v="-15383.9"/>
    <s v="01"/>
    <s v="000"/>
    <s v="1210"/>
    <s v="202300"/>
    <s v="0000"/>
  </r>
  <r>
    <x v="0"/>
    <s v="2023 PERSONAL PROPERTY RECEIVABLES"/>
    <n v="0"/>
    <n v="3"/>
    <x v="0"/>
    <s v="Receivable5045"/>
    <m/>
    <s v=""/>
    <n v="5045"/>
    <x v="37"/>
    <s v="22.07"/>
    <x v="24"/>
    <s v="jmcgovern"/>
    <d v="2022-11-02T13:57:26"/>
    <s v=""/>
    <s v=""/>
    <s v="CRT Transaction"/>
    <b v="1"/>
    <s v="Rev"/>
    <n v="0"/>
    <n v="0"/>
    <n v="30011.45"/>
    <n v="-30011.45"/>
    <s v="01"/>
    <s v="000"/>
    <s v="1210"/>
    <s v="202300"/>
    <s v="0000"/>
  </r>
  <r>
    <x v="0"/>
    <s v="2023 PERSONAL PROPERTY RECEIVABLES"/>
    <n v="0"/>
    <n v="3"/>
    <x v="0"/>
    <s v="Receivable5046"/>
    <m/>
    <s v=""/>
    <n v="5046"/>
    <x v="38"/>
    <s v="22.07"/>
    <x v="25"/>
    <s v="jmcgovern"/>
    <d v="2022-11-02T13:59:46"/>
    <s v=""/>
    <s v=""/>
    <s v="CRT Transaction"/>
    <b v="1"/>
    <s v="Rev"/>
    <n v="0"/>
    <n v="0"/>
    <n v="68920.259999999995"/>
    <n v="-68920.259999999995"/>
    <s v="01"/>
    <s v="000"/>
    <s v="1210"/>
    <s v="202300"/>
    <s v="0000"/>
  </r>
  <r>
    <x v="0"/>
    <s v="2023 PERSONAL PROPERTY RECEIVABLES"/>
    <n v="0"/>
    <n v="3"/>
    <x v="0"/>
    <s v="Receivable5047"/>
    <m/>
    <s v=""/>
    <n v="5047"/>
    <x v="39"/>
    <s v="22.07"/>
    <x v="25"/>
    <s v="jmcgovern"/>
    <d v="2022-11-02T14:08:14"/>
    <s v=""/>
    <s v=""/>
    <s v="CRT Transaction"/>
    <b v="1"/>
    <s v="Rev"/>
    <n v="0"/>
    <n v="0"/>
    <n v="28223.29"/>
    <n v="-28223.29"/>
    <s v="01"/>
    <s v="000"/>
    <s v="1210"/>
    <s v="202300"/>
    <s v="0000"/>
  </r>
  <r>
    <x v="0"/>
    <s v="2023 PERSONAL PROPERTY RECEIVABLES"/>
    <n v="0"/>
    <n v="3"/>
    <x v="0"/>
    <s v="Receivable5239"/>
    <m/>
    <s v=""/>
    <n v="5239"/>
    <x v="40"/>
    <s v="22.07"/>
    <x v="14"/>
    <s v="jmcgovern"/>
    <d v="2022-11-02T14:10:44"/>
    <s v=""/>
    <s v=""/>
    <s v="CRT Transaction"/>
    <b v="1"/>
    <s v="Rev"/>
    <n v="0"/>
    <n v="0"/>
    <n v="79.92"/>
    <n v="-79.92"/>
    <s v="01"/>
    <s v="000"/>
    <s v="1210"/>
    <s v="202300"/>
    <s v="0000"/>
  </r>
  <r>
    <x v="0"/>
    <s v="2023 PERSONAL PROPERTY RECEIVABLES"/>
    <n v="0"/>
    <n v="3"/>
    <x v="0"/>
    <s v="Receivable5239"/>
    <m/>
    <s v=""/>
    <n v="5239"/>
    <x v="40"/>
    <s v="22.07"/>
    <x v="14"/>
    <s v="jmcgovern"/>
    <d v="2022-11-02T14:10:44"/>
    <s v=""/>
    <s v=""/>
    <s v="CRT Transaction"/>
    <b v="1"/>
    <s v="Rev"/>
    <n v="0"/>
    <n v="0"/>
    <n v="107223.17"/>
    <n v="-107223.17"/>
    <s v="01"/>
    <s v="000"/>
    <s v="1210"/>
    <s v="202300"/>
    <s v="0000"/>
  </r>
  <r>
    <x v="0"/>
    <s v="2023 PERSONAL PROPERTY RECEIVABLES"/>
    <n v="0"/>
    <n v="3"/>
    <x v="0"/>
    <s v="Receivable5240"/>
    <m/>
    <s v=""/>
    <n v="5240"/>
    <x v="41"/>
    <s v="22.07"/>
    <x v="15"/>
    <s v="jmcgovern"/>
    <d v="2022-11-02T14:12:48"/>
    <s v=""/>
    <s v=""/>
    <s v="CRT Transaction"/>
    <b v="1"/>
    <s v="Rev"/>
    <n v="0"/>
    <n v="0"/>
    <n v="44.52"/>
    <n v="-44.52"/>
    <s v="01"/>
    <s v="000"/>
    <s v="1210"/>
    <s v="202300"/>
    <s v="0000"/>
  </r>
  <r>
    <x v="0"/>
    <s v="2023 PERSONAL PROPERTY RECEIVABLES"/>
    <n v="0"/>
    <n v="3"/>
    <x v="0"/>
    <s v="Receivable5240"/>
    <m/>
    <s v=""/>
    <n v="5240"/>
    <x v="41"/>
    <s v="22.07"/>
    <x v="15"/>
    <s v="jmcgovern"/>
    <d v="2022-11-02T14:12:48"/>
    <s v=""/>
    <s v=""/>
    <s v="CRT Transaction"/>
    <b v="1"/>
    <s v="Rev"/>
    <n v="0"/>
    <n v="0"/>
    <n v="44841.11"/>
    <n v="-44841.11"/>
    <s v="01"/>
    <s v="000"/>
    <s v="1210"/>
    <s v="202300"/>
    <s v="0000"/>
  </r>
  <r>
    <x v="0"/>
    <s v="2023 PERSONAL PROPERTY RECEIVABLES"/>
    <n v="0"/>
    <n v="3"/>
    <x v="0"/>
    <s v="Receivable5241"/>
    <m/>
    <s v=""/>
    <n v="5241"/>
    <x v="42"/>
    <s v="22.07"/>
    <x v="18"/>
    <s v="jmcgovern"/>
    <d v="2022-11-02T14:14:43"/>
    <s v=""/>
    <s v=""/>
    <s v="CRT Transaction"/>
    <b v="1"/>
    <s v="Rev"/>
    <n v="0"/>
    <n v="0"/>
    <n v="9510.9500000000007"/>
    <n v="-9510.9500000000007"/>
    <s v="01"/>
    <s v="000"/>
    <s v="1210"/>
    <s v="202300"/>
    <s v="0000"/>
  </r>
  <r>
    <x v="0"/>
    <s v="2023 PERSONAL PROPERTY RECEIVABLES"/>
    <n v="0"/>
    <n v="3"/>
    <x v="0"/>
    <s v="Receivable5242"/>
    <m/>
    <s v=""/>
    <n v="5242"/>
    <x v="43"/>
    <s v="22.07"/>
    <x v="26"/>
    <s v="jmcgovern"/>
    <d v="2022-11-02T14:17:34"/>
    <s v=""/>
    <s v=""/>
    <s v="CRT Transaction"/>
    <b v="1"/>
    <s v="Rev"/>
    <n v="0"/>
    <n v="0"/>
    <n v="4753.16"/>
    <n v="-4753.16"/>
    <s v="01"/>
    <s v="000"/>
    <s v="1210"/>
    <s v="202300"/>
    <s v="0000"/>
  </r>
  <r>
    <x v="0"/>
    <s v="2023 PERSONAL PROPERTY RECEIVABLES"/>
    <n v="0"/>
    <n v="3"/>
    <x v="0"/>
    <s v="Receivable5242"/>
    <m/>
    <s v=""/>
    <n v="5242"/>
    <x v="43"/>
    <s v="22.07"/>
    <x v="26"/>
    <s v="jmcgovern"/>
    <d v="2022-11-02T14:17:34"/>
    <s v=""/>
    <s v=""/>
    <s v="CRT Transaction"/>
    <b v="1"/>
    <s v="Rev"/>
    <n v="0"/>
    <n v="0"/>
    <n v="116001.21"/>
    <n v="-116001.21"/>
    <s v="01"/>
    <s v="000"/>
    <s v="1210"/>
    <s v="202300"/>
    <s v="0000"/>
  </r>
  <r>
    <x v="0"/>
    <s v="2023 PERSONAL PROPERTY RECEIVABLES"/>
    <n v="0"/>
    <n v="3"/>
    <x v="0"/>
    <s v="Receivable5243"/>
    <m/>
    <s v=""/>
    <n v="5243"/>
    <x v="44"/>
    <s v="22.07"/>
    <x v="19"/>
    <s v="jmcgovern"/>
    <d v="2022-11-02T14:19:54"/>
    <s v=""/>
    <s v=""/>
    <s v="CRT Transaction"/>
    <b v="1"/>
    <s v="Rev"/>
    <n v="0"/>
    <n v="0"/>
    <n v="22059.62"/>
    <n v="-22059.62"/>
    <s v="01"/>
    <s v="000"/>
    <s v="1210"/>
    <s v="202300"/>
    <s v="0000"/>
  </r>
  <r>
    <x v="0"/>
    <s v="2023 PERSONAL PROPERTY RECEIVABLES"/>
    <n v="0"/>
    <n v="3"/>
    <x v="0"/>
    <s v="Receivable5244"/>
    <m/>
    <s v=""/>
    <n v="5244"/>
    <x v="45"/>
    <s v="22.07"/>
    <x v="21"/>
    <s v="jmcgovern"/>
    <d v="2022-11-02T14:22:05"/>
    <s v=""/>
    <s v=""/>
    <s v="CRT Transaction"/>
    <b v="1"/>
    <s v="Rev"/>
    <n v="0"/>
    <n v="0"/>
    <n v="73.72"/>
    <n v="-73.72"/>
    <s v="01"/>
    <s v="000"/>
    <s v="1210"/>
    <s v="202300"/>
    <s v="0000"/>
  </r>
  <r>
    <x v="0"/>
    <s v="2023 PERSONAL PROPERTY RECEIVABLES"/>
    <n v="0"/>
    <n v="3"/>
    <x v="0"/>
    <s v="Receivable5244"/>
    <m/>
    <s v=""/>
    <n v="5244"/>
    <x v="45"/>
    <s v="22.07"/>
    <x v="21"/>
    <s v="jmcgovern"/>
    <d v="2022-11-02T14:22:05"/>
    <s v=""/>
    <s v=""/>
    <s v="CRT Transaction"/>
    <b v="1"/>
    <s v="Rev"/>
    <n v="0"/>
    <n v="0"/>
    <n v="74940.77"/>
    <n v="-74940.77"/>
    <s v="01"/>
    <s v="000"/>
    <s v="1210"/>
    <s v="202300"/>
    <s v="0000"/>
  </r>
  <r>
    <x v="0"/>
    <s v="2023 PERSONAL PROPERTY RECEIVABLES"/>
    <n v="0"/>
    <n v="3"/>
    <x v="0"/>
    <s v="Receivable5245"/>
    <m/>
    <s v=""/>
    <n v="5245"/>
    <x v="46"/>
    <s v="22.07"/>
    <x v="24"/>
    <s v="jmcgovern"/>
    <d v="2022-11-02T14:30:34"/>
    <s v=""/>
    <s v=""/>
    <s v="CRT Transaction"/>
    <b v="1"/>
    <s v="Rev"/>
    <n v="0"/>
    <n v="0"/>
    <n v="28223.11"/>
    <n v="-28223.11"/>
    <s v="01"/>
    <s v="000"/>
    <s v="1210"/>
    <s v="202300"/>
    <s v="0000"/>
  </r>
  <r>
    <x v="0"/>
    <s v="2023 PERSONAL PROPERTY RECEIVABLES"/>
    <n v="0"/>
    <n v="3"/>
    <x v="0"/>
    <s v="Receivable5246"/>
    <m/>
    <s v=""/>
    <n v="5246"/>
    <x v="47"/>
    <s v="22.07"/>
    <x v="25"/>
    <s v="jmcgovern"/>
    <d v="2022-11-02T14:33:46"/>
    <s v=""/>
    <s v=""/>
    <s v="CRT Transaction"/>
    <b v="1"/>
    <s v="Rev"/>
    <n v="0"/>
    <n v="0"/>
    <n v="322.07"/>
    <n v="-322.07"/>
    <s v="01"/>
    <s v="000"/>
    <s v="1210"/>
    <s v="202300"/>
    <s v="0000"/>
  </r>
  <r>
    <x v="0"/>
    <s v="2023 PERSONAL PROPERTY RECEIVABLES"/>
    <n v="0"/>
    <n v="3"/>
    <x v="0"/>
    <s v="Receivable5246"/>
    <m/>
    <s v=""/>
    <n v="5246"/>
    <x v="47"/>
    <s v="22.07"/>
    <x v="25"/>
    <s v="jmcgovern"/>
    <d v="2022-11-02T14:33:46"/>
    <s v=""/>
    <s v=""/>
    <s v="CRT Transaction"/>
    <b v="1"/>
    <s v="Rev"/>
    <n v="0"/>
    <n v="0"/>
    <n v="123793.06"/>
    <n v="-123793.06"/>
    <s v="01"/>
    <s v="000"/>
    <s v="1210"/>
    <s v="202300"/>
    <s v="0000"/>
  </r>
  <r>
    <x v="0"/>
    <s v="2023 PERSONAL PROPERTY RECEIVABLES"/>
    <n v="0"/>
    <n v="3"/>
    <x v="0"/>
    <s v="Receivable5328"/>
    <m/>
    <s v=""/>
    <n v="5328"/>
    <x v="48"/>
    <s v="22.07"/>
    <x v="2"/>
    <s v="jmcgovern"/>
    <d v="2022-11-02T15:07:29"/>
    <s v=""/>
    <s v=""/>
    <s v="CRT Transaction"/>
    <b v="1"/>
    <s v="Rev"/>
    <n v="0"/>
    <n v="0"/>
    <n v="6400.85"/>
    <n v="-6400.85"/>
    <s v="01"/>
    <s v="000"/>
    <s v="1210"/>
    <s v="202300"/>
    <s v="0000"/>
  </r>
  <r>
    <x v="0"/>
    <s v="2023 PERSONAL PROPERTY RECEIVABLES"/>
    <n v="0"/>
    <n v="3"/>
    <x v="0"/>
    <s v="Receivable5329"/>
    <m/>
    <s v=""/>
    <n v="5329"/>
    <x v="49"/>
    <s v="22.07"/>
    <x v="2"/>
    <s v="jmcgovern"/>
    <d v="2022-11-02T15:11:00"/>
    <s v=""/>
    <s v=""/>
    <s v="CRT Transaction"/>
    <b v="1"/>
    <s v="Rev"/>
    <n v="0"/>
    <n v="0"/>
    <n v="32.450000000000003"/>
    <n v="-32.450000000000003"/>
    <s v="01"/>
    <s v="000"/>
    <s v="1210"/>
    <s v="202300"/>
    <s v="0000"/>
  </r>
  <r>
    <x v="0"/>
    <s v="2023 PERSONAL PROPERTY RECEIVABLES"/>
    <n v="0"/>
    <n v="3"/>
    <x v="0"/>
    <s v="Receivable5334"/>
    <m/>
    <s v=""/>
    <n v="5334"/>
    <x v="50"/>
    <s v="22.07"/>
    <x v="25"/>
    <s v="jmcgovern"/>
    <d v="2022-11-02T15:43:08"/>
    <s v=""/>
    <s v=""/>
    <s v="CRT Transaction"/>
    <b v="1"/>
    <s v="Rev"/>
    <n v="0"/>
    <n v="3328.77"/>
    <n v="0"/>
    <n v="3328.77"/>
    <s v="01"/>
    <s v="000"/>
    <s v="1210"/>
    <s v="202300"/>
    <s v="0000"/>
  </r>
  <r>
    <x v="0"/>
    <s v="2023 PERSONAL PROPERTY RECEIVABLES"/>
    <n v="0"/>
    <n v="3"/>
    <x v="0"/>
    <s v="Receivable5338"/>
    <m/>
    <s v=""/>
    <n v="5338"/>
    <x v="51"/>
    <s v="22.07"/>
    <x v="27"/>
    <s v="jmcgovern"/>
    <d v="2022-11-02T15:45:24"/>
    <s v=""/>
    <s v=""/>
    <s v="CRT Transaction"/>
    <b v="1"/>
    <s v="Rev"/>
    <n v="0"/>
    <n v="0"/>
    <n v="94004.06"/>
    <n v="-94004.06"/>
    <s v="01"/>
    <s v="000"/>
    <s v="1210"/>
    <s v="202300"/>
    <s v="0000"/>
  </r>
  <r>
    <x v="0"/>
    <s v="2023 PERSONAL PROPERTY RECEIVABLES"/>
    <n v="0"/>
    <n v="3"/>
    <x v="0"/>
    <s v="Receivable5339"/>
    <m/>
    <s v=""/>
    <n v="5339"/>
    <x v="52"/>
    <s v="22.07"/>
    <x v="28"/>
    <s v="jmcgovern"/>
    <d v="2022-11-02T15:47:54"/>
    <s v=""/>
    <s v=""/>
    <s v="CRT Transaction"/>
    <b v="1"/>
    <s v="Rev"/>
    <n v="0"/>
    <n v="0"/>
    <n v="288.27"/>
    <n v="-288.27"/>
    <s v="01"/>
    <s v="000"/>
    <s v="1210"/>
    <s v="202300"/>
    <s v="0000"/>
  </r>
  <r>
    <x v="0"/>
    <s v="2023 PERSONAL PROPERTY RECEIVABLES"/>
    <n v="0"/>
    <n v="3"/>
    <x v="0"/>
    <s v="Receivable5339"/>
    <m/>
    <s v=""/>
    <n v="5339"/>
    <x v="52"/>
    <s v="22.07"/>
    <x v="28"/>
    <s v="jmcgovern"/>
    <d v="2022-11-02T15:47:54"/>
    <s v=""/>
    <s v=""/>
    <s v="CRT Transaction"/>
    <b v="1"/>
    <s v="Rev"/>
    <n v="0"/>
    <n v="0"/>
    <n v="773528.59"/>
    <n v="-773528.59"/>
    <s v="01"/>
    <s v="000"/>
    <s v="1210"/>
    <s v="202300"/>
    <s v="0000"/>
  </r>
  <r>
    <x v="0"/>
    <s v="2023 PERSONAL PROPERTY RECEIVABLES"/>
    <n v="0"/>
    <n v="3"/>
    <x v="0"/>
    <s v="Receivable5340"/>
    <m/>
    <s v=""/>
    <n v="5340"/>
    <x v="53"/>
    <s v="22.07"/>
    <x v="29"/>
    <s v="jmcgovern"/>
    <d v="2022-11-02T15:50:57"/>
    <s v=""/>
    <s v=""/>
    <s v="CRT Transaction"/>
    <b v="1"/>
    <s v="Rev"/>
    <n v="0"/>
    <n v="0"/>
    <n v="35.69"/>
    <n v="-35.69"/>
    <s v="01"/>
    <s v="000"/>
    <s v="1210"/>
    <s v="202300"/>
    <s v="0000"/>
  </r>
  <r>
    <x v="0"/>
    <s v="2023 PERSONAL PROPERTY RECEIVABLES"/>
    <n v="0"/>
    <n v="3"/>
    <x v="0"/>
    <s v="Receivable5340"/>
    <m/>
    <s v=""/>
    <n v="5340"/>
    <x v="53"/>
    <s v="22.07"/>
    <x v="29"/>
    <s v="jmcgovern"/>
    <d v="2022-11-02T15:50:57"/>
    <s v=""/>
    <s v=""/>
    <s v="CRT Transaction"/>
    <b v="1"/>
    <s v="Rev"/>
    <n v="0"/>
    <n v="0"/>
    <n v="155333.13"/>
    <n v="-155333.13"/>
    <s v="01"/>
    <s v="000"/>
    <s v="1210"/>
    <s v="202300"/>
    <s v="0000"/>
  </r>
  <r>
    <x v="0"/>
    <s v="2023 PERSONAL PROPERTY RECEIVABLES"/>
    <n v="0"/>
    <n v="3"/>
    <x v="0"/>
    <s v="Receivable5341"/>
    <m/>
    <s v=""/>
    <n v="5341"/>
    <x v="54"/>
    <s v="22.07"/>
    <x v="30"/>
    <s v="jmcgovern"/>
    <d v="2022-11-02T15:54:27"/>
    <s v=""/>
    <s v=""/>
    <s v="CRT Transaction"/>
    <b v="1"/>
    <s v="Rev"/>
    <n v="0"/>
    <n v="3914.12"/>
    <n v="0"/>
    <n v="3914.12"/>
    <s v="01"/>
    <s v="000"/>
    <s v="1210"/>
    <s v="202300"/>
    <s v="0000"/>
  </r>
  <r>
    <x v="0"/>
    <s v="2023 PERSONAL PROPERTY RECEIVABLES"/>
    <n v="0"/>
    <n v="3"/>
    <x v="0"/>
    <s v="Receivable5343"/>
    <m/>
    <s v=""/>
    <n v="5343"/>
    <x v="55"/>
    <s v="22.07"/>
    <x v="31"/>
    <s v="jmcgovern"/>
    <d v="2022-11-02T16:03:46"/>
    <s v=""/>
    <s v=""/>
    <s v="CRT Transaction"/>
    <b v="1"/>
    <s v="Rev"/>
    <n v="0"/>
    <n v="0"/>
    <n v="12566.92"/>
    <n v="-12566.92"/>
    <s v="01"/>
    <s v="000"/>
    <s v="1210"/>
    <s v="202300"/>
    <s v="0000"/>
  </r>
  <r>
    <x v="0"/>
    <s v="2023 PERSONAL PROPERTY RECEIVABLES"/>
    <n v="0"/>
    <n v="3"/>
    <x v="0"/>
    <s v="Receivable5344"/>
    <m/>
    <s v=""/>
    <n v="5344"/>
    <x v="56"/>
    <s v="22.07"/>
    <x v="27"/>
    <s v="jmcgovern"/>
    <d v="2022-11-02T16:07:29"/>
    <s v=""/>
    <s v=""/>
    <s v="CRT Transaction"/>
    <b v="1"/>
    <s v="Rev"/>
    <n v="0"/>
    <n v="0"/>
    <n v="69383.31"/>
    <n v="-69383.31"/>
    <s v="01"/>
    <s v="000"/>
    <s v="1210"/>
    <s v="202300"/>
    <s v="0000"/>
  </r>
  <r>
    <x v="0"/>
    <s v="2023 PERSONAL PROPERTY RECEIVABLES"/>
    <n v="0"/>
    <n v="3"/>
    <x v="0"/>
    <s v="Receivable5345"/>
    <m/>
    <s v=""/>
    <n v="5345"/>
    <x v="57"/>
    <s v="22.07"/>
    <x v="28"/>
    <s v="jmcgovern"/>
    <d v="2022-11-02T16:09:52"/>
    <s v=""/>
    <s v=""/>
    <s v="CRT Transaction"/>
    <b v="1"/>
    <s v="Rev"/>
    <n v="0"/>
    <n v="0"/>
    <n v="79922.83"/>
    <n v="-79922.83"/>
    <s v="01"/>
    <s v="000"/>
    <s v="1210"/>
    <s v="202300"/>
    <s v="0000"/>
  </r>
  <r>
    <x v="0"/>
    <s v="2023 PERSONAL PROPERTY RECEIVABLES"/>
    <n v="0"/>
    <n v="3"/>
    <x v="0"/>
    <s v="Receivable5346"/>
    <m/>
    <s v=""/>
    <n v="5346"/>
    <x v="58"/>
    <s v="22.07"/>
    <x v="29"/>
    <s v="jmcgovern"/>
    <d v="2022-11-02T16:12:18"/>
    <s v=""/>
    <s v=""/>
    <s v="CRT Transaction"/>
    <b v="1"/>
    <s v="Rev"/>
    <n v="0"/>
    <n v="0"/>
    <n v="124440.55"/>
    <n v="-124440.55"/>
    <s v="01"/>
    <s v="000"/>
    <s v="1210"/>
    <s v="202300"/>
    <s v="0000"/>
  </r>
  <r>
    <x v="0"/>
    <s v="2023 PERSONAL PROPERTY RECEIVABLES"/>
    <n v="0"/>
    <n v="3"/>
    <x v="0"/>
    <s v="Receivable5347"/>
    <m/>
    <s v=""/>
    <n v="5347"/>
    <x v="59"/>
    <s v="22.07"/>
    <x v="30"/>
    <s v="jmcgovern"/>
    <d v="2022-11-02T16:15:02"/>
    <s v=""/>
    <s v=""/>
    <s v="CRT Transaction"/>
    <b v="1"/>
    <s v="Rev"/>
    <n v="0"/>
    <n v="0"/>
    <n v="45877.84"/>
    <n v="-45877.84"/>
    <s v="01"/>
    <s v="000"/>
    <s v="1210"/>
    <s v="202300"/>
    <s v="0000"/>
  </r>
  <r>
    <x v="0"/>
    <s v="2023 PERSONAL PROPERTY RECEIVABLES"/>
    <n v="0"/>
    <n v="3"/>
    <x v="0"/>
    <s v="Receivable5348"/>
    <m/>
    <s v=""/>
    <n v="5348"/>
    <x v="60"/>
    <s v="22.07"/>
    <x v="32"/>
    <s v="jmcgovern"/>
    <d v="2022-11-02T16:17:53"/>
    <s v=""/>
    <s v=""/>
    <s v="CRT Transaction"/>
    <b v="1"/>
    <s v="Rev"/>
    <n v="0"/>
    <n v="0"/>
    <n v="44170.51"/>
    <n v="-44170.51"/>
    <s v="01"/>
    <s v="000"/>
    <s v="1210"/>
    <s v="202300"/>
    <s v="0000"/>
  </r>
  <r>
    <x v="0"/>
    <s v="2023 PERSONAL PROPERTY RECEIVABLES"/>
    <n v="0"/>
    <n v="3"/>
    <x v="0"/>
    <s v="Receivable5352"/>
    <m/>
    <s v=""/>
    <n v="5352"/>
    <x v="61"/>
    <s v="22.07"/>
    <x v="29"/>
    <s v="jmcgovern"/>
    <d v="2022-11-02T16:28:11"/>
    <s v=""/>
    <s v=""/>
    <s v="CRT Transaction"/>
    <b v="1"/>
    <s v="Rev"/>
    <n v="0"/>
    <n v="0"/>
    <n v="87.02"/>
    <n v="-87.02"/>
    <s v="01"/>
    <s v="000"/>
    <s v="1210"/>
    <s v="202300"/>
    <s v="0000"/>
  </r>
  <r>
    <x v="0"/>
    <s v="2023 PERSONAL PROPERTY RECEIVABLES"/>
    <n v="0"/>
    <n v="3"/>
    <x v="0"/>
    <s v="Receivable5353"/>
    <m/>
    <s v=""/>
    <n v="5353"/>
    <x v="62"/>
    <s v="22.07"/>
    <x v="30"/>
    <s v="jmcgovern"/>
    <d v="2022-11-02T16:31:18"/>
    <s v=""/>
    <s v=""/>
    <s v="CRT Transaction"/>
    <b v="1"/>
    <s v="Rev"/>
    <n v="0"/>
    <n v="0"/>
    <n v="128.49"/>
    <n v="-128.49"/>
    <s v="01"/>
    <s v="000"/>
    <s v="1210"/>
    <s v="202300"/>
    <s v="0000"/>
  </r>
  <r>
    <x v="0"/>
    <s v="2023 PERSONAL PROPERTY RECEIVABLES"/>
    <n v="0"/>
    <n v="3"/>
    <x v="0"/>
    <s v="Receivable5354"/>
    <m/>
    <s v=""/>
    <n v="5354"/>
    <x v="63"/>
    <s v="22.07"/>
    <x v="32"/>
    <s v="jmcgovern"/>
    <d v="2022-11-02T16:33:28"/>
    <s v=""/>
    <s v=""/>
    <s v="CRT Transaction"/>
    <b v="1"/>
    <s v="Rev"/>
    <n v="0"/>
    <n v="0"/>
    <n v="35.69"/>
    <n v="-35.69"/>
    <s v="01"/>
    <s v="000"/>
    <s v="1210"/>
    <s v="202300"/>
    <s v="0000"/>
  </r>
  <r>
    <x v="0"/>
    <s v="2023 PERSONAL PROPERTY RECEIVABLES"/>
    <n v="0"/>
    <n v="3"/>
    <x v="0"/>
    <s v="Receivable5250"/>
    <m/>
    <s v=""/>
    <n v="5250"/>
    <x v="64"/>
    <s v="22.07"/>
    <x v="29"/>
    <s v="jmcgovern"/>
    <d v="2022-11-03T11:36:28"/>
    <s v=""/>
    <s v=""/>
    <s v="CRT Transaction"/>
    <b v="1"/>
    <s v="Rev"/>
    <n v="0"/>
    <n v="0"/>
    <n v="2620073.62"/>
    <n v="-2620073.62"/>
    <s v="01"/>
    <s v="000"/>
    <s v="1210"/>
    <s v="202300"/>
    <s v="0000"/>
  </r>
  <r>
    <x v="0"/>
    <s v="2023 PERSONAL PROPERTY RECEIVABLES"/>
    <n v="0"/>
    <n v="3"/>
    <x v="0"/>
    <s v="Receivable5038"/>
    <m/>
    <s v=""/>
    <n v="5038"/>
    <x v="65"/>
    <s v="22.07"/>
    <x v="26"/>
    <s v="jmcgovern"/>
    <d v="2022-11-03T11:43:53"/>
    <s v=""/>
    <s v=""/>
    <s v="CRT Transaction"/>
    <b v="1"/>
    <s v="Rev"/>
    <n v="0"/>
    <n v="0"/>
    <n v="19846.04"/>
    <n v="-19846.04"/>
    <s v="01"/>
    <s v="000"/>
    <s v="1210"/>
    <s v="202300"/>
    <s v="0000"/>
  </r>
  <r>
    <x v="0"/>
    <s v="2023 PERSONAL PROPERTY RECEIVABLES"/>
    <n v="0"/>
    <n v="3"/>
    <x v="0"/>
    <s v="Receivable5356"/>
    <m/>
    <s v=""/>
    <n v="5356"/>
    <x v="66"/>
    <s v="22.08"/>
    <x v="33"/>
    <s v="jmcgovern"/>
    <d v="2022-11-23T10:30:56"/>
    <s v=""/>
    <s v=""/>
    <s v="CRT Transaction"/>
    <b v="1"/>
    <s v="Rev"/>
    <n v="0"/>
    <n v="0"/>
    <n v="177731.19"/>
    <n v="-177731.19"/>
    <s v="01"/>
    <s v="000"/>
    <s v="1210"/>
    <s v="202300"/>
    <s v="0000"/>
  </r>
  <r>
    <x v="0"/>
    <s v="2023 PERSONAL PROPERTY RECEIVABLES"/>
    <n v="0"/>
    <n v="3"/>
    <x v="0"/>
    <s v="Receivable5357"/>
    <m/>
    <s v=""/>
    <n v="5357"/>
    <x v="67"/>
    <s v="22.08"/>
    <x v="34"/>
    <s v="jmcgovern"/>
    <d v="2022-11-23T10:40:47"/>
    <s v=""/>
    <s v=""/>
    <s v="CRT Transaction"/>
    <b v="1"/>
    <s v="Rev"/>
    <n v="0"/>
    <n v="0"/>
    <n v="54242.07"/>
    <n v="-54242.07"/>
    <s v="01"/>
    <s v="000"/>
    <s v="1210"/>
    <s v="202300"/>
    <s v="0000"/>
  </r>
  <r>
    <x v="0"/>
    <s v="2023 PERSONAL PROPERTY RECEIVABLES"/>
    <n v="0"/>
    <n v="3"/>
    <x v="0"/>
    <s v="Receivable5358"/>
    <m/>
    <s v=""/>
    <n v="5358"/>
    <x v="68"/>
    <s v="22.08"/>
    <x v="35"/>
    <s v="jmcgovern"/>
    <d v="2022-11-23T10:45:14"/>
    <s v=""/>
    <s v=""/>
    <s v="CRT Transaction"/>
    <b v="1"/>
    <s v="Rev"/>
    <n v="0"/>
    <n v="0"/>
    <n v="20375.11"/>
    <n v="-20375.11"/>
    <s v="01"/>
    <s v="000"/>
    <s v="1210"/>
    <s v="202300"/>
    <s v="0000"/>
  </r>
  <r>
    <x v="0"/>
    <s v="2023 PERSONAL PROPERTY RECEIVABLES"/>
    <n v="0"/>
    <n v="3"/>
    <x v="0"/>
    <s v="Receivable5368"/>
    <m/>
    <s v=""/>
    <n v="5368"/>
    <x v="69"/>
    <s v="22.08"/>
    <x v="36"/>
    <s v="jmcgovern"/>
    <d v="2022-11-23T11:06:55"/>
    <s v=""/>
    <s v=""/>
    <s v="CRT Transaction"/>
    <b v="1"/>
    <s v="Rev"/>
    <n v="0"/>
    <n v="0"/>
    <n v="7705.9"/>
    <n v="-7705.9"/>
    <s v="01"/>
    <s v="000"/>
    <s v="1210"/>
    <s v="202300"/>
    <s v="0000"/>
  </r>
  <r>
    <x v="0"/>
    <s v="2023 PERSONAL PROPERTY RECEIVABLES"/>
    <n v="0"/>
    <n v="3"/>
    <x v="0"/>
    <s v="Receivable5369"/>
    <m/>
    <s v=""/>
    <n v="5369"/>
    <x v="70"/>
    <s v="22.08"/>
    <x v="37"/>
    <s v="jmcgovern"/>
    <d v="2022-11-23T11:28:00"/>
    <s v=""/>
    <s v=""/>
    <s v="CRT Transaction"/>
    <b v="1"/>
    <s v="Rev"/>
    <n v="0"/>
    <n v="0"/>
    <n v="6533.26"/>
    <n v="-6533.26"/>
    <s v="01"/>
    <s v="000"/>
    <s v="1210"/>
    <s v="202300"/>
    <s v="0000"/>
  </r>
  <r>
    <x v="0"/>
    <s v="2023 PERSONAL PROPERTY RECEIVABLES"/>
    <n v="0"/>
    <n v="3"/>
    <x v="0"/>
    <s v="Receivable5370"/>
    <m/>
    <s v=""/>
    <n v="5370"/>
    <x v="71"/>
    <s v="22.08"/>
    <x v="38"/>
    <s v="jmcgovern"/>
    <d v="2022-11-23T11:31:38"/>
    <s v=""/>
    <s v=""/>
    <s v="CRT Transaction"/>
    <b v="1"/>
    <s v="Rev"/>
    <n v="0"/>
    <n v="0"/>
    <n v="5170.1499999999996"/>
    <n v="-5170.1499999999996"/>
    <s v="01"/>
    <s v="000"/>
    <s v="1210"/>
    <s v="202300"/>
    <s v="0000"/>
  </r>
  <r>
    <x v="0"/>
    <s v="2023 PERSONAL PROPERTY RECEIVABLES"/>
    <n v="0"/>
    <n v="3"/>
    <x v="0"/>
    <s v="Receivable5371"/>
    <m/>
    <s v=""/>
    <n v="5371"/>
    <x v="72"/>
    <s v="22.08"/>
    <x v="33"/>
    <s v="jmcgovern"/>
    <d v="2022-11-23T11:34:47"/>
    <s v=""/>
    <s v=""/>
    <s v="CRT Transaction"/>
    <b v="1"/>
    <s v="Rev"/>
    <n v="0"/>
    <n v="0"/>
    <n v="134557.9"/>
    <n v="-134557.9"/>
    <s v="01"/>
    <s v="000"/>
    <s v="1210"/>
    <s v="202300"/>
    <s v="0000"/>
  </r>
  <r>
    <x v="0"/>
    <s v="2023 PERSONAL PROPERTY RECEIVABLES"/>
    <n v="0"/>
    <n v="3"/>
    <x v="0"/>
    <s v="Receivable5372"/>
    <m/>
    <s v=""/>
    <n v="5372"/>
    <x v="73"/>
    <s v="22.08"/>
    <x v="33"/>
    <s v="jmcgovern"/>
    <d v="2022-11-23T11:38:00"/>
    <s v=""/>
    <s v=""/>
    <s v="CRT Transaction"/>
    <b v="1"/>
    <s v="Rev"/>
    <n v="0"/>
    <n v="0"/>
    <n v="109948.34"/>
    <n v="-109948.34"/>
    <s v="01"/>
    <s v="000"/>
    <s v="1210"/>
    <s v="202300"/>
    <s v="0000"/>
  </r>
  <r>
    <x v="0"/>
    <s v="2023 PERSONAL PROPERTY RECEIVABLES"/>
    <n v="0"/>
    <n v="3"/>
    <x v="0"/>
    <s v="Receivable5373"/>
    <m/>
    <s v=""/>
    <n v="5373"/>
    <x v="74"/>
    <s v="22.08"/>
    <x v="33"/>
    <s v="jmcgovern"/>
    <d v="2022-11-23T11:41:51"/>
    <s v=""/>
    <s v=""/>
    <s v="CRT Transaction"/>
    <b v="1"/>
    <s v="Rev"/>
    <n v="0"/>
    <n v="0"/>
    <n v="751.81"/>
    <n v="-751.81"/>
    <s v="01"/>
    <s v="000"/>
    <s v="1210"/>
    <s v="202300"/>
    <s v="0000"/>
  </r>
  <r>
    <x v="0"/>
    <s v="2023 PERSONAL PROPERTY RECEIVABLES"/>
    <n v="0"/>
    <n v="3"/>
    <x v="0"/>
    <s v="Receivable5373"/>
    <m/>
    <s v=""/>
    <n v="5373"/>
    <x v="74"/>
    <s v="22.08"/>
    <x v="33"/>
    <s v="jmcgovern"/>
    <d v="2022-11-23T11:41:51"/>
    <s v=""/>
    <s v=""/>
    <s v="CRT Transaction"/>
    <b v="1"/>
    <s v="Rev"/>
    <n v="0"/>
    <n v="0"/>
    <n v="246856.3"/>
    <n v="-246856.3"/>
    <s v="01"/>
    <s v="000"/>
    <s v="1210"/>
    <s v="202300"/>
    <s v="0000"/>
  </r>
  <r>
    <x v="0"/>
    <s v="2023 PERSONAL PROPERTY RECEIVABLES"/>
    <n v="0"/>
    <n v="3"/>
    <x v="0"/>
    <s v="Receivable5403"/>
    <m/>
    <s v=""/>
    <n v="5403"/>
    <x v="75"/>
    <s v="22.08"/>
    <x v="39"/>
    <s v="jmcgovern"/>
    <d v="2022-11-23T11:44:44"/>
    <s v=""/>
    <s v=""/>
    <s v="CRT Transaction"/>
    <b v="1"/>
    <s v="Rev"/>
    <n v="0"/>
    <n v="0"/>
    <n v="13808.23"/>
    <n v="-13808.23"/>
    <s v="01"/>
    <s v="000"/>
    <s v="1210"/>
    <s v="202300"/>
    <s v="0000"/>
  </r>
  <r>
    <x v="0"/>
    <s v="2023 PERSONAL PROPERTY RECEIVABLES"/>
    <n v="0"/>
    <n v="3"/>
    <x v="0"/>
    <s v="Receivable5405"/>
    <m/>
    <s v=""/>
    <n v="5405"/>
    <x v="76"/>
    <s v="22.08"/>
    <x v="40"/>
    <s v="jmcgovern"/>
    <d v="2022-11-23T11:49:39"/>
    <s v=""/>
    <s v=""/>
    <s v="CRT Transaction"/>
    <b v="1"/>
    <s v="Rev"/>
    <n v="0"/>
    <n v="0"/>
    <n v="6715.61"/>
    <n v="-6715.61"/>
    <s v="01"/>
    <s v="000"/>
    <s v="1210"/>
    <s v="202300"/>
    <s v="0000"/>
  </r>
  <r>
    <x v="0"/>
    <s v="2023 PERSONAL PROPERTY RECEIVABLES"/>
    <n v="0"/>
    <n v="3"/>
    <x v="0"/>
    <s v="Receivable5394"/>
    <m/>
    <s v=""/>
    <n v="5394"/>
    <x v="77"/>
    <s v="22.08"/>
    <x v="36"/>
    <s v="jmcgovern"/>
    <d v="2022-11-23T11:56:32"/>
    <s v=""/>
    <s v=""/>
    <s v="CRT Transaction"/>
    <b v="1"/>
    <s v="Rev"/>
    <n v="0"/>
    <n v="0"/>
    <n v="134.19999999999999"/>
    <n v="-134.19999999999999"/>
    <s v="01"/>
    <s v="000"/>
    <s v="1210"/>
    <s v="202300"/>
    <s v="0000"/>
  </r>
  <r>
    <x v="0"/>
    <s v="2023 PERSONAL PROPERTY RECEIVABLES"/>
    <n v="0"/>
    <n v="3"/>
    <x v="0"/>
    <s v="Receivable5394"/>
    <m/>
    <s v=""/>
    <n v="5394"/>
    <x v="77"/>
    <s v="22.08"/>
    <x v="36"/>
    <s v="jmcgovern"/>
    <d v="2022-11-23T11:56:32"/>
    <s v=""/>
    <s v=""/>
    <s v="CRT Transaction"/>
    <b v="1"/>
    <s v="Rev"/>
    <n v="0"/>
    <n v="0"/>
    <n v="42900.81"/>
    <n v="-42900.81"/>
    <s v="01"/>
    <s v="000"/>
    <s v="1210"/>
    <s v="202300"/>
    <s v="0000"/>
  </r>
  <r>
    <x v="0"/>
    <s v="2023 PERSONAL PROPERTY RECEIVABLES"/>
    <n v="0"/>
    <n v="3"/>
    <x v="0"/>
    <s v="Receivable5395"/>
    <m/>
    <s v=""/>
    <n v="5395"/>
    <x v="78"/>
    <s v="22.08"/>
    <x v="36"/>
    <s v="jmcgovern"/>
    <d v="2022-11-29T10:01:00"/>
    <s v=""/>
    <s v=""/>
    <s v="CRT Transaction"/>
    <b v="1"/>
    <s v="Rev"/>
    <n v="0"/>
    <n v="0"/>
    <n v="247761.97"/>
    <n v="-247761.97"/>
    <s v="01"/>
    <s v="000"/>
    <s v="1210"/>
    <s v="202300"/>
    <s v="0000"/>
  </r>
  <r>
    <x v="0"/>
    <s v="2023 PERSONAL PROPERTY RECEIVABLES"/>
    <n v="0"/>
    <n v="3"/>
    <x v="0"/>
    <s v="Receivable5395"/>
    <m/>
    <s v=""/>
    <n v="5395"/>
    <x v="78"/>
    <s v="22.08"/>
    <x v="36"/>
    <s v="jmcgovern"/>
    <d v="2022-11-29T10:01:00"/>
    <s v=""/>
    <s v=""/>
    <s v="CRT Transaction"/>
    <b v="1"/>
    <s v="Rev"/>
    <n v="0"/>
    <n v="0"/>
    <n v="228975.96"/>
    <n v="-228975.96"/>
    <s v="01"/>
    <s v="000"/>
    <s v="1210"/>
    <s v="202300"/>
    <s v="0000"/>
  </r>
  <r>
    <x v="0"/>
    <s v="2023 PERSONAL PROPERTY RECEIVABLES"/>
    <n v="0"/>
    <n v="3"/>
    <x v="0"/>
    <s v="Receivable5396"/>
    <m/>
    <s v=""/>
    <n v="5396"/>
    <x v="79"/>
    <s v="22.08"/>
    <x v="37"/>
    <s v="jmcgovern"/>
    <d v="2022-11-29T10:16:54"/>
    <s v=""/>
    <s v=""/>
    <s v="CRT Transaction"/>
    <b v="1"/>
    <s v="Rev"/>
    <n v="0"/>
    <n v="2735.95"/>
    <n v="0"/>
    <n v="2735.95"/>
    <s v="01"/>
    <s v="000"/>
    <s v="1210"/>
    <s v="202300"/>
    <s v="0000"/>
  </r>
  <r>
    <x v="0"/>
    <s v="2023 PERSONAL PROPERTY RECEIVABLES"/>
    <n v="0"/>
    <n v="3"/>
    <x v="0"/>
    <s v="Receivable5397"/>
    <m/>
    <s v=""/>
    <n v="5397"/>
    <x v="80"/>
    <s v="22.08"/>
    <x v="39"/>
    <s v="jmcgovern"/>
    <d v="2022-11-29T11:11:54"/>
    <s v=""/>
    <s v=""/>
    <s v="CRT Transaction"/>
    <b v="1"/>
    <s v="Rev"/>
    <n v="0"/>
    <n v="0"/>
    <n v="82224.02"/>
    <n v="-82224.02"/>
    <s v="01"/>
    <s v="000"/>
    <s v="1210"/>
    <s v="202300"/>
    <s v="0000"/>
  </r>
  <r>
    <x v="0"/>
    <s v="2023 PERSONAL PROPERTY RECEIVABLES"/>
    <n v="0"/>
    <n v="3"/>
    <x v="0"/>
    <s v="Receivable5398"/>
    <m/>
    <s v=""/>
    <n v="5398"/>
    <x v="81"/>
    <s v="22.08"/>
    <x v="39"/>
    <s v="jmcgovern"/>
    <d v="2022-11-29T11:16:35"/>
    <s v=""/>
    <s v=""/>
    <s v="CRT Transaction"/>
    <b v="1"/>
    <s v="Rev"/>
    <n v="0"/>
    <n v="0"/>
    <n v="112416.19"/>
    <n v="-112416.19"/>
    <s v="01"/>
    <s v="000"/>
    <s v="1210"/>
    <s v="202300"/>
    <s v="0000"/>
  </r>
  <r>
    <x v="0"/>
    <s v="2023 PERSONAL PROPERTY RECEIVABLES"/>
    <n v="0"/>
    <n v="3"/>
    <x v="0"/>
    <s v="Receivable5399"/>
    <m/>
    <s v=""/>
    <n v="5399"/>
    <x v="82"/>
    <s v="22.08"/>
    <x v="39"/>
    <s v="jmcgovern"/>
    <d v="2022-11-29T11:21:13"/>
    <s v=""/>
    <s v=""/>
    <s v="CRT Transaction"/>
    <b v="1"/>
    <s v="Rev"/>
    <n v="0"/>
    <n v="0"/>
    <n v="153126.54999999999"/>
    <n v="-153126.54999999999"/>
    <s v="01"/>
    <s v="000"/>
    <s v="1210"/>
    <s v="202300"/>
    <s v="0000"/>
  </r>
  <r>
    <x v="0"/>
    <s v="2023 PERSONAL PROPERTY RECEIVABLES"/>
    <n v="0"/>
    <n v="3"/>
    <x v="0"/>
    <s v="Receivable5400"/>
    <m/>
    <s v=""/>
    <n v="5400"/>
    <x v="83"/>
    <s v="22.08"/>
    <x v="39"/>
    <s v="jmcgovern"/>
    <d v="2022-11-29T11:34:17"/>
    <s v=""/>
    <s v=""/>
    <s v="CRT Transaction"/>
    <b v="1"/>
    <s v="Rev"/>
    <n v="0"/>
    <n v="0"/>
    <n v="148424.54999999999"/>
    <n v="-148424.54999999999"/>
    <s v="01"/>
    <s v="000"/>
    <s v="1210"/>
    <s v="202300"/>
    <s v="0000"/>
  </r>
  <r>
    <x v="0"/>
    <s v="2023 PERSONAL PROPERTY RECEIVABLES"/>
    <n v="0"/>
    <n v="3"/>
    <x v="0"/>
    <s v="Receivable5401"/>
    <m/>
    <s v=""/>
    <n v="5401"/>
    <x v="84"/>
    <s v="22.08"/>
    <x v="39"/>
    <s v="jmcgovern"/>
    <d v="2022-11-29T11:34:35"/>
    <s v=""/>
    <s v=""/>
    <s v="CRT Transaction"/>
    <b v="1"/>
    <s v="Rev"/>
    <n v="0"/>
    <n v="0"/>
    <n v="31837.58"/>
    <n v="-31837.58"/>
    <s v="01"/>
    <s v="000"/>
    <s v="1210"/>
    <s v="202300"/>
    <s v="0000"/>
  </r>
  <r>
    <x v="0"/>
    <s v="2023 PERSONAL PROPERTY RECEIVABLES"/>
    <n v="0"/>
    <n v="3"/>
    <x v="0"/>
    <s v="Receivable5402"/>
    <m/>
    <s v=""/>
    <n v="5402"/>
    <x v="85"/>
    <s v="22.08"/>
    <x v="39"/>
    <s v="jmcgovern"/>
    <d v="2022-11-29T11:35:10"/>
    <s v=""/>
    <s v=""/>
    <s v="CRT Transaction"/>
    <b v="1"/>
    <s v="Rev"/>
    <n v="0"/>
    <n v="0"/>
    <n v="15123.34"/>
    <n v="-15123.34"/>
    <s v="01"/>
    <s v="000"/>
    <s v="1210"/>
    <s v="202300"/>
    <s v="0000"/>
  </r>
  <r>
    <x v="0"/>
    <s v="2023 PERSONAL PROPERTY RECEIVABLES"/>
    <n v="0"/>
    <n v="3"/>
    <x v="0"/>
    <s v="Receivable5406"/>
    <m/>
    <s v=""/>
    <n v="5406"/>
    <x v="86"/>
    <s v="22.08"/>
    <x v="40"/>
    <s v="jmcgovern"/>
    <d v="2022-11-29T11:35:55"/>
    <s v=""/>
    <s v=""/>
    <s v="CRT Transaction"/>
    <b v="1"/>
    <s v="Rev"/>
    <n v="0"/>
    <n v="0"/>
    <n v="6223.71"/>
    <n v="-6223.71"/>
    <s v="01"/>
    <s v="000"/>
    <s v="1210"/>
    <s v="202300"/>
    <s v="0000"/>
  </r>
  <r>
    <x v="0"/>
    <s v="2023 PERSONAL PROPERTY RECEIVABLES"/>
    <n v="0"/>
    <n v="3"/>
    <x v="0"/>
    <s v="Receivable5408"/>
    <m/>
    <s v=""/>
    <n v="5408"/>
    <x v="87"/>
    <s v="22.08"/>
    <x v="33"/>
    <s v="jmcgovern"/>
    <d v="2022-11-29T12:01:37"/>
    <s v=""/>
    <s v=""/>
    <s v="CRT Transaction"/>
    <b v="1"/>
    <s v="Rev"/>
    <n v="0"/>
    <n v="4480.6400000000003"/>
    <n v="0"/>
    <n v="4480.6400000000003"/>
    <s v="01"/>
    <s v="000"/>
    <s v="1210"/>
    <s v="202300"/>
    <s v="0000"/>
  </r>
  <r>
    <x v="0"/>
    <s v="2023 PERSONAL PROPERTY RECEIVABLES"/>
    <n v="0"/>
    <n v="3"/>
    <x v="0"/>
    <s v="Receivable5410"/>
    <m/>
    <s v=""/>
    <n v="5410"/>
    <x v="88"/>
    <s v="22.08"/>
    <x v="41"/>
    <s v="jmcgovern"/>
    <d v="2022-11-29T12:10:30"/>
    <s v=""/>
    <s v=""/>
    <s v="CRT Transaction"/>
    <b v="1"/>
    <s v="Rev"/>
    <n v="0"/>
    <n v="0"/>
    <n v="5016.0200000000004"/>
    <n v="-5016.0200000000004"/>
    <s v="01"/>
    <s v="000"/>
    <s v="1210"/>
    <s v="202300"/>
    <s v="0000"/>
  </r>
  <r>
    <x v="0"/>
    <s v="2023 PERSONAL PROPERTY RECEIVABLES"/>
    <n v="0"/>
    <n v="3"/>
    <x v="0"/>
    <s v="Receivable5415"/>
    <m/>
    <s v=""/>
    <n v="5415"/>
    <x v="89"/>
    <s v="22.08"/>
    <x v="42"/>
    <s v="jmcgovern"/>
    <d v="2022-11-29T12:35:19"/>
    <s v=""/>
    <s v=""/>
    <s v="CRT Transaction"/>
    <b v="1"/>
    <s v="Rev"/>
    <n v="0"/>
    <n v="0"/>
    <n v="1941.97"/>
    <n v="-1941.97"/>
    <s v="01"/>
    <s v="000"/>
    <s v="1210"/>
    <s v="202300"/>
    <s v="0000"/>
  </r>
  <r>
    <x v="0"/>
    <s v="2023 PERSONAL PROPERTY RECEIVABLES"/>
    <n v="0"/>
    <n v="3"/>
    <x v="0"/>
    <s v="Receivable5436"/>
    <m/>
    <s v=""/>
    <n v="5436"/>
    <x v="90"/>
    <s v="22.08"/>
    <x v="43"/>
    <s v="jmcgovern"/>
    <d v="2022-11-30T11:40:59"/>
    <s v=""/>
    <s v=""/>
    <s v="CRT Transaction"/>
    <b v="1"/>
    <s v="Rev"/>
    <n v="0"/>
    <n v="0"/>
    <n v="64.83"/>
    <n v="-64.83"/>
    <s v="01"/>
    <s v="000"/>
    <s v="1210"/>
    <s v="202300"/>
    <s v="0000"/>
  </r>
  <r>
    <x v="0"/>
    <s v="2023 PERSONAL PROPERTY RECEIVABLES"/>
    <n v="0"/>
    <n v="3"/>
    <x v="0"/>
    <s v="Receivable5436"/>
    <m/>
    <s v=""/>
    <n v="5436"/>
    <x v="90"/>
    <s v="22.08"/>
    <x v="43"/>
    <s v="jmcgovern"/>
    <d v="2022-11-30T11:40:59"/>
    <s v=""/>
    <s v=""/>
    <s v="CRT Transaction"/>
    <b v="1"/>
    <s v="Rev"/>
    <n v="0"/>
    <n v="0"/>
    <n v="37910.36"/>
    <n v="-37910.36"/>
    <s v="01"/>
    <s v="000"/>
    <s v="1210"/>
    <s v="202300"/>
    <s v="0000"/>
  </r>
  <r>
    <x v="0"/>
    <s v="2023 PERSONAL PROPERTY RECEIVABLES"/>
    <n v="0"/>
    <n v="3"/>
    <x v="0"/>
    <s v="Receivable5437"/>
    <m/>
    <s v=""/>
    <n v="5437"/>
    <x v="91"/>
    <s v="22.08"/>
    <x v="33"/>
    <s v="jmcgovern"/>
    <d v="2022-11-30T11:43:54"/>
    <s v=""/>
    <s v=""/>
    <s v="CRT Transaction"/>
    <b v="1"/>
    <s v="Rev"/>
    <n v="0"/>
    <n v="0"/>
    <n v="315.79000000000002"/>
    <n v="-315.79000000000002"/>
    <s v="01"/>
    <s v="000"/>
    <s v="1210"/>
    <s v="202300"/>
    <s v="0000"/>
  </r>
  <r>
    <x v="0"/>
    <s v="2023 PERSONAL PROPERTY RECEIVABLES"/>
    <n v="0"/>
    <n v="3"/>
    <x v="0"/>
    <s v="Receivable5437"/>
    <m/>
    <s v=""/>
    <n v="5437"/>
    <x v="91"/>
    <s v="22.08"/>
    <x v="33"/>
    <s v="jmcgovern"/>
    <d v="2022-11-30T11:43:54"/>
    <s v=""/>
    <s v=""/>
    <s v="CRT Transaction"/>
    <b v="1"/>
    <s v="Rev"/>
    <n v="0"/>
    <n v="0"/>
    <n v="141655.88"/>
    <n v="-141655.88"/>
    <s v="01"/>
    <s v="000"/>
    <s v="1210"/>
    <s v="202300"/>
    <s v="0000"/>
  </r>
  <r>
    <x v="0"/>
    <s v="2023 PERSONAL PROPERTY RECEIVABLES"/>
    <n v="0"/>
    <n v="3"/>
    <x v="0"/>
    <s v="Receivable5438"/>
    <m/>
    <s v=""/>
    <n v="5438"/>
    <x v="92"/>
    <s v="22.08"/>
    <x v="33"/>
    <s v="jmcgovern"/>
    <d v="2022-11-30T11:46:56"/>
    <s v=""/>
    <s v=""/>
    <s v="CRT Transaction"/>
    <b v="1"/>
    <s v="Rev"/>
    <n v="0"/>
    <n v="0"/>
    <n v="82478.87"/>
    <n v="-82478.87"/>
    <s v="01"/>
    <s v="000"/>
    <s v="1210"/>
    <s v="202300"/>
    <s v="0000"/>
  </r>
  <r>
    <x v="0"/>
    <s v="2023 PERSONAL PROPERTY RECEIVABLES"/>
    <n v="0"/>
    <n v="3"/>
    <x v="0"/>
    <s v="Receivable5439"/>
    <m/>
    <s v=""/>
    <n v="5439"/>
    <x v="93"/>
    <s v="22.08"/>
    <x v="33"/>
    <s v="jmcgovern"/>
    <d v="2022-11-30T11:49:51"/>
    <s v=""/>
    <s v=""/>
    <s v="CRT Transaction"/>
    <b v="1"/>
    <s v="Rev"/>
    <n v="0"/>
    <n v="0"/>
    <n v="13353.54"/>
    <n v="-13353.54"/>
    <s v="01"/>
    <s v="000"/>
    <s v="1210"/>
    <s v="202300"/>
    <s v="0000"/>
  </r>
  <r>
    <x v="0"/>
    <s v="2023 PERSONAL PROPERTY RECEIVABLES"/>
    <n v="0"/>
    <n v="3"/>
    <x v="0"/>
    <s v="Receivable5440"/>
    <m/>
    <s v=""/>
    <n v="5440"/>
    <x v="94"/>
    <s v="22.08"/>
    <x v="33"/>
    <s v="jmcgovern"/>
    <d v="2022-11-30T11:56:09"/>
    <s v=""/>
    <s v=""/>
    <s v="CRT Transaction"/>
    <b v="1"/>
    <s v="Rev"/>
    <n v="0"/>
    <n v="0"/>
    <n v="21070.29"/>
    <n v="-21070.29"/>
    <s v="01"/>
    <s v="000"/>
    <s v="1210"/>
    <s v="202300"/>
    <s v="0000"/>
  </r>
  <r>
    <x v="0"/>
    <s v="2023 PERSONAL PROPERTY RECEIVABLES"/>
    <n v="0"/>
    <n v="3"/>
    <x v="0"/>
    <s v="Receivable5441"/>
    <m/>
    <s v=""/>
    <n v="5441"/>
    <x v="95"/>
    <s v="22.08"/>
    <x v="33"/>
    <s v="jmcgovern"/>
    <d v="2022-11-30T11:58:48"/>
    <s v=""/>
    <s v=""/>
    <s v="CRT Transaction"/>
    <b v="1"/>
    <s v="Rev"/>
    <n v="0"/>
    <n v="0"/>
    <n v="3932.29"/>
    <n v="-3932.29"/>
    <s v="01"/>
    <s v="000"/>
    <s v="1210"/>
    <s v="202300"/>
    <s v="0000"/>
  </r>
  <r>
    <x v="0"/>
    <s v="2023 PERSONAL PROPERTY RECEIVABLES"/>
    <n v="0"/>
    <n v="3"/>
    <x v="0"/>
    <s v="Receivable5442"/>
    <m/>
    <s v=""/>
    <n v="5442"/>
    <x v="96"/>
    <s v="22.08"/>
    <x v="33"/>
    <s v="jmcgovern"/>
    <d v="2022-11-30T12:01:38"/>
    <s v=""/>
    <s v=""/>
    <s v="CRT Transaction"/>
    <b v="1"/>
    <s v="Rev"/>
    <n v="0"/>
    <n v="0"/>
    <n v="1957.87"/>
    <n v="-1957.87"/>
    <s v="01"/>
    <s v="000"/>
    <s v="1210"/>
    <s v="202300"/>
    <s v="0000"/>
  </r>
  <r>
    <x v="0"/>
    <s v="2023 PERSONAL PROPERTY RECEIVABLES"/>
    <n v="0"/>
    <n v="3"/>
    <x v="0"/>
    <s v="Receivable5443"/>
    <m/>
    <s v=""/>
    <n v="5443"/>
    <x v="97"/>
    <s v="22.08"/>
    <x v="33"/>
    <s v="jmcgovern"/>
    <d v="2022-11-30T12:04:16"/>
    <s v=""/>
    <s v=""/>
    <s v="CRT Transaction"/>
    <b v="1"/>
    <s v="Rev"/>
    <n v="0"/>
    <n v="0"/>
    <n v="577.96"/>
    <n v="-577.96"/>
    <s v="01"/>
    <s v="000"/>
    <s v="1210"/>
    <s v="202300"/>
    <s v="0000"/>
  </r>
  <r>
    <x v="0"/>
    <s v="2023 PERSONAL PROPERTY RECEIVABLES"/>
    <n v="0"/>
    <n v="3"/>
    <x v="0"/>
    <s v="Receivable5443"/>
    <m/>
    <s v=""/>
    <n v="5443"/>
    <x v="97"/>
    <s v="22.08"/>
    <x v="33"/>
    <s v="jmcgovern"/>
    <d v="2022-11-30T12:04:16"/>
    <s v=""/>
    <s v=""/>
    <s v="CRT Transaction"/>
    <b v="1"/>
    <s v="Rev"/>
    <n v="0"/>
    <n v="0"/>
    <n v="456307.91"/>
    <n v="-456307.91"/>
    <s v="01"/>
    <s v="000"/>
    <s v="1210"/>
    <s v="202300"/>
    <s v="0000"/>
  </r>
  <r>
    <x v="0"/>
    <s v="2023 PERSONAL PROPERTY RECEIVABLES"/>
    <n v="0"/>
    <n v="3"/>
    <x v="0"/>
    <s v="Receivable5444"/>
    <m/>
    <s v=""/>
    <n v="5444"/>
    <x v="98"/>
    <s v="22.08"/>
    <x v="44"/>
    <s v="jmcgovern"/>
    <d v="2022-11-30T12:07:01"/>
    <s v=""/>
    <s v=""/>
    <s v="CRT Transaction"/>
    <b v="1"/>
    <s v="Rev"/>
    <n v="0"/>
    <n v="0"/>
    <n v="187.17"/>
    <n v="-187.17"/>
    <s v="01"/>
    <s v="000"/>
    <s v="1210"/>
    <s v="202300"/>
    <s v="0000"/>
  </r>
  <r>
    <x v="0"/>
    <s v="2023 PERSONAL PROPERTY RECEIVABLES"/>
    <n v="0"/>
    <n v="3"/>
    <x v="0"/>
    <s v="Receivable5444"/>
    <m/>
    <s v=""/>
    <n v="5444"/>
    <x v="98"/>
    <s v="22.08"/>
    <x v="44"/>
    <s v="jmcgovern"/>
    <d v="2022-11-30T12:07:01"/>
    <s v=""/>
    <s v=""/>
    <s v="CRT Transaction"/>
    <b v="1"/>
    <s v="Rev"/>
    <n v="0"/>
    <n v="0"/>
    <n v="30095.17"/>
    <n v="-30095.17"/>
    <s v="01"/>
    <s v="000"/>
    <s v="1210"/>
    <s v="202300"/>
    <s v="0000"/>
  </r>
  <r>
    <x v="0"/>
    <s v="2023 PERSONAL PROPERTY RECEIVABLES"/>
    <n v="0"/>
    <n v="3"/>
    <x v="0"/>
    <s v="Receivable5446"/>
    <m/>
    <s v=""/>
    <n v="5446"/>
    <x v="99"/>
    <s v="22.08"/>
    <x v="33"/>
    <s v="jmcgovern"/>
    <d v="2022-11-30T12:13:09"/>
    <s v=""/>
    <s v=""/>
    <s v="CRT Transaction"/>
    <b v="1"/>
    <s v="Rev"/>
    <n v="0"/>
    <n v="0"/>
    <n v="38.94"/>
    <n v="-38.94"/>
    <s v="01"/>
    <s v="000"/>
    <s v="1210"/>
    <s v="202300"/>
    <s v="0000"/>
  </r>
  <r>
    <x v="0"/>
    <s v="2023 PERSONAL PROPERTY RECEIVABLES"/>
    <n v="0"/>
    <n v="3"/>
    <x v="0"/>
    <s v="Receivable5446"/>
    <m/>
    <s v=""/>
    <n v="5446"/>
    <x v="99"/>
    <s v="22.08"/>
    <x v="33"/>
    <s v="jmcgovern"/>
    <d v="2022-11-30T12:13:09"/>
    <s v=""/>
    <s v=""/>
    <s v="CRT Transaction"/>
    <b v="1"/>
    <s v="Rev"/>
    <n v="0"/>
    <n v="0"/>
    <n v="15711.28"/>
    <n v="-15711.28"/>
    <s v="01"/>
    <s v="000"/>
    <s v="1210"/>
    <s v="202300"/>
    <s v="0000"/>
  </r>
  <r>
    <x v="0"/>
    <s v="2023 PERSONAL PROPERTY RECEIVABLES"/>
    <n v="0"/>
    <n v="3"/>
    <x v="0"/>
    <s v="Receivable5449"/>
    <m/>
    <s v=""/>
    <n v="5449"/>
    <x v="100"/>
    <s v="22.08"/>
    <x v="45"/>
    <s v="jmcgovern"/>
    <d v="2022-11-30T12:20:03"/>
    <s v=""/>
    <s v=""/>
    <s v="CRT Transaction"/>
    <b v="1"/>
    <s v="Rev"/>
    <n v="0"/>
    <n v="0"/>
    <n v="17372.580000000002"/>
    <n v="-17372.580000000002"/>
    <s v="01"/>
    <s v="000"/>
    <s v="1210"/>
    <s v="202300"/>
    <s v="0000"/>
  </r>
  <r>
    <x v="0"/>
    <s v="2023 PERSONAL PROPERTY RECEIVABLES"/>
    <n v="0"/>
    <n v="3"/>
    <x v="0"/>
    <s v="Receivable5626"/>
    <m/>
    <s v=""/>
    <n v="5626"/>
    <x v="101"/>
    <s v="22.09"/>
    <x v="46"/>
    <s v="jmcgovern"/>
    <d v="2023-01-12T09:53:12"/>
    <s v=""/>
    <s v=""/>
    <s v="CRT Transaction"/>
    <b v="1"/>
    <s v="Rev"/>
    <n v="0"/>
    <n v="0"/>
    <n v="222.96"/>
    <n v="-222.96"/>
    <s v="01"/>
    <s v="000"/>
    <s v="1210"/>
    <s v="202300"/>
    <s v="0000"/>
  </r>
  <r>
    <x v="0"/>
    <s v="2023 PERSONAL PROPERTY RECEIVABLES"/>
    <n v="0"/>
    <n v="3"/>
    <x v="0"/>
    <s v="Receivable5626"/>
    <m/>
    <s v=""/>
    <n v="5626"/>
    <x v="101"/>
    <s v="22.09"/>
    <x v="46"/>
    <s v="jmcgovern"/>
    <d v="2023-01-12T09:53:12"/>
    <s v=""/>
    <s v=""/>
    <s v="CRT Transaction"/>
    <b v="1"/>
    <s v="Rev"/>
    <n v="0"/>
    <n v="0"/>
    <n v="72749.91"/>
    <n v="-72749.91"/>
    <s v="01"/>
    <s v="000"/>
    <s v="1210"/>
    <s v="202300"/>
    <s v="0000"/>
  </r>
  <r>
    <x v="1"/>
    <s v="2023 REAL ESTATE TAX RECEIVABLE"/>
    <n v="0"/>
    <n v="3"/>
    <x v="0"/>
    <s v="Receivable5626"/>
    <m/>
    <s v=""/>
    <n v="5626"/>
    <x v="101"/>
    <s v="22.09"/>
    <x v="46"/>
    <s v="jmcgovern"/>
    <d v="2023-01-12T09:53:12"/>
    <s v=""/>
    <s v=""/>
    <s v="CRT Transaction"/>
    <b v="1"/>
    <s v="Rev"/>
    <n v="0"/>
    <n v="0"/>
    <n v="72749.91"/>
    <n v="-72749.91"/>
    <s v="01"/>
    <s v="000"/>
    <s v="1220"/>
    <s v="202300"/>
    <s v="0000"/>
  </r>
  <r>
    <x v="0"/>
    <s v="2023 PERSONAL PROPERTY RECEIVABLES"/>
    <n v="0"/>
    <n v="3"/>
    <x v="0"/>
    <s v="Receivable5627"/>
    <m/>
    <s v=""/>
    <n v="5627"/>
    <x v="102"/>
    <s v="22.09"/>
    <x v="47"/>
    <s v="jmcgovern"/>
    <d v="2023-01-12T09:59:30"/>
    <s v=""/>
    <s v=""/>
    <s v="CRT Transaction"/>
    <b v="1"/>
    <s v="Rev"/>
    <n v="0"/>
    <n v="0"/>
    <n v="37103.93"/>
    <n v="-37103.93"/>
    <s v="01"/>
    <s v="000"/>
    <s v="1210"/>
    <s v="202300"/>
    <s v="0000"/>
  </r>
  <r>
    <x v="1"/>
    <s v="2023 REAL ESTATE TAX RECEIVABLE"/>
    <n v="0"/>
    <n v="3"/>
    <x v="0"/>
    <s v="Receivable5627"/>
    <m/>
    <s v=""/>
    <n v="5627"/>
    <x v="102"/>
    <s v="22.09"/>
    <x v="47"/>
    <s v="jmcgovern"/>
    <d v="2023-01-12T09:59:30"/>
    <s v=""/>
    <s v=""/>
    <s v="CRT Transaction"/>
    <b v="1"/>
    <s v="Rev"/>
    <n v="0"/>
    <n v="0"/>
    <n v="37103.93"/>
    <n v="-37103.93"/>
    <s v="01"/>
    <s v="000"/>
    <s v="1220"/>
    <s v="202300"/>
    <s v="0000"/>
  </r>
  <r>
    <x v="0"/>
    <s v="2023 PERSONAL PROPERTY RECEIVABLES"/>
    <n v="0"/>
    <n v="3"/>
    <x v="0"/>
    <s v="Receivable5628"/>
    <m/>
    <s v=""/>
    <n v="5628"/>
    <x v="103"/>
    <s v="22.09"/>
    <x v="48"/>
    <s v="jmcgovern"/>
    <d v="2023-01-12T10:14:52"/>
    <s v=""/>
    <s v=""/>
    <s v="CRT Transaction"/>
    <b v="1"/>
    <s v="Rev"/>
    <n v="0"/>
    <n v="0"/>
    <n v="74.569999999999993"/>
    <n v="-74.569999999999993"/>
    <s v="01"/>
    <s v="000"/>
    <s v="1210"/>
    <s v="202300"/>
    <s v="0000"/>
  </r>
  <r>
    <x v="0"/>
    <s v="2023 PERSONAL PROPERTY RECEIVABLES"/>
    <n v="0"/>
    <n v="3"/>
    <x v="0"/>
    <s v="Receivable5628"/>
    <m/>
    <s v=""/>
    <n v="5628"/>
    <x v="103"/>
    <s v="22.09"/>
    <x v="48"/>
    <s v="jmcgovern"/>
    <d v="2023-01-12T10:14:52"/>
    <s v=""/>
    <s v=""/>
    <s v="CRT Transaction"/>
    <b v="1"/>
    <s v="Rev"/>
    <n v="0"/>
    <n v="0"/>
    <n v="28441.51"/>
    <n v="-28441.51"/>
    <s v="01"/>
    <s v="000"/>
    <s v="1210"/>
    <s v="202300"/>
    <s v="0000"/>
  </r>
  <r>
    <x v="0"/>
    <s v="2023 PERSONAL PROPERTY RECEIVABLES"/>
    <n v="0"/>
    <n v="3"/>
    <x v="0"/>
    <s v="Receivable5658"/>
    <m/>
    <s v=""/>
    <n v="5658"/>
    <x v="104"/>
    <s v="22.08"/>
    <x v="41"/>
    <s v="jmcgovern"/>
    <d v="2023-01-12T13:41:50"/>
    <s v=""/>
    <s v=""/>
    <s v="CRT Transaction"/>
    <b v="1"/>
    <s v="Rev"/>
    <n v="0"/>
    <n v="2735.95"/>
    <n v="0"/>
    <n v="2735.95"/>
    <s v="01"/>
    <s v="000"/>
    <s v="1210"/>
    <s v="202300"/>
    <s v="0000"/>
  </r>
  <r>
    <x v="0"/>
    <s v="2023 PERSONAL PROPERTY RECEIVABLES"/>
    <n v="0"/>
    <n v="3"/>
    <x v="0"/>
    <s v="Receivable5528"/>
    <m/>
    <s v=""/>
    <n v="5528"/>
    <x v="105"/>
    <s v="22.08"/>
    <x v="49"/>
    <s v="jmcgovern"/>
    <d v="2023-01-12T14:17:14"/>
    <s v=""/>
    <s v=""/>
    <s v="CRT Transaction"/>
    <b v="1"/>
    <s v="Rev"/>
    <n v="0"/>
    <n v="0"/>
    <n v="35.69"/>
    <n v="-35.69"/>
    <s v="01"/>
    <s v="000"/>
    <s v="1210"/>
    <s v="202300"/>
    <s v="0000"/>
  </r>
  <r>
    <x v="0"/>
    <s v="2023 PERSONAL PROPERTY RECEIVABLES"/>
    <n v="0"/>
    <n v="3"/>
    <x v="0"/>
    <s v="Receivable5528"/>
    <m/>
    <s v=""/>
    <n v="5528"/>
    <x v="105"/>
    <s v="22.08"/>
    <x v="49"/>
    <s v="jmcgovern"/>
    <d v="2023-01-12T14:17:14"/>
    <s v=""/>
    <s v=""/>
    <s v="CRT Transaction"/>
    <b v="1"/>
    <s v="Rev"/>
    <n v="0"/>
    <n v="0"/>
    <n v="68561.22"/>
    <n v="-68561.22"/>
    <s v="01"/>
    <s v="000"/>
    <s v="1210"/>
    <s v="202300"/>
    <s v="0000"/>
  </r>
  <r>
    <x v="0"/>
    <s v="2023 PERSONAL PROPERTY RECEIVABLES"/>
    <n v="0"/>
    <n v="3"/>
    <x v="0"/>
    <s v="Receivable5659"/>
    <m/>
    <s v=""/>
    <n v="5659"/>
    <x v="106"/>
    <s v="22.08"/>
    <x v="42"/>
    <s v="jmcgovern"/>
    <d v="2023-01-12T14:18:11"/>
    <s v=""/>
    <s v=""/>
    <s v="CRT Transaction"/>
    <b v="1"/>
    <s v="Rev"/>
    <n v="0"/>
    <n v="0"/>
    <n v="28.47"/>
    <n v="-28.47"/>
    <s v="01"/>
    <s v="000"/>
    <s v="1210"/>
    <s v="202300"/>
    <s v="0000"/>
  </r>
  <r>
    <x v="1"/>
    <s v="2023 REAL ESTATE TAX RECEIVABLE"/>
    <n v="0"/>
    <n v="3"/>
    <x v="0"/>
    <s v="Receivable5628"/>
    <m/>
    <s v=""/>
    <n v="5628"/>
    <x v="103"/>
    <s v="22.09"/>
    <x v="48"/>
    <s v="jmcgovern"/>
    <d v="2023-01-12T10:14:52"/>
    <s v=""/>
    <s v=""/>
    <s v="CRT Transaction"/>
    <b v="1"/>
    <s v="Rev"/>
    <n v="0"/>
    <n v="0"/>
    <n v="28441.51"/>
    <n v="-28441.51"/>
    <s v="01"/>
    <s v="000"/>
    <s v="1220"/>
    <s v="202300"/>
    <s v="0000"/>
  </r>
  <r>
    <x v="0"/>
    <s v="2023 PERSONAL PROPERTY RECEIVABLES"/>
    <n v="0"/>
    <n v="3"/>
    <x v="0"/>
    <s v="Receivable5631"/>
    <m/>
    <s v=""/>
    <n v="5631"/>
    <x v="107"/>
    <s v="22.09"/>
    <x v="50"/>
    <s v="jmcgovern"/>
    <d v="2023-01-12T10:43:28"/>
    <s v=""/>
    <s v=""/>
    <s v="CRT Transaction"/>
    <b v="1"/>
    <s v="Rev"/>
    <n v="0"/>
    <n v="0"/>
    <n v="6475.17"/>
    <n v="-6475.17"/>
    <s v="01"/>
    <s v="000"/>
    <s v="1210"/>
    <s v="202300"/>
    <s v="0000"/>
  </r>
  <r>
    <x v="1"/>
    <s v="2023 REAL ESTATE TAX RECEIVABLE"/>
    <n v="0"/>
    <n v="3"/>
    <x v="0"/>
    <s v="Receivable5631"/>
    <m/>
    <s v=""/>
    <n v="5631"/>
    <x v="107"/>
    <s v="22.09"/>
    <x v="50"/>
    <s v="jmcgovern"/>
    <d v="2023-01-12T10:43:28"/>
    <s v=""/>
    <s v=""/>
    <s v="CRT Transaction"/>
    <b v="1"/>
    <s v="Rev"/>
    <n v="0"/>
    <n v="0"/>
    <n v="6475.17"/>
    <n v="-6475.17"/>
    <s v="01"/>
    <s v="000"/>
    <s v="1220"/>
    <s v="202300"/>
    <s v="0000"/>
  </r>
  <r>
    <x v="0"/>
    <s v="2023 PERSONAL PROPERTY RECEIVABLES"/>
    <n v="0"/>
    <n v="3"/>
    <x v="0"/>
    <s v="Receivable5689"/>
    <m/>
    <s v=""/>
    <n v="5689"/>
    <x v="108"/>
    <s v="22.07"/>
    <x v="2"/>
    <s v="jmcgovern"/>
    <d v="2023-01-19T10:26:12"/>
    <s v=""/>
    <s v=""/>
    <s v="CRT Transaction"/>
    <b v="1"/>
    <s v="Rev"/>
    <n v="0"/>
    <n v="0"/>
    <n v="4348.78"/>
    <n v="-4348.78"/>
    <s v="01"/>
    <s v="000"/>
    <s v="1210"/>
    <s v="202300"/>
    <s v="0000"/>
  </r>
  <r>
    <x v="0"/>
    <s v="2023 PERSONAL PROPERTY RECEIVABLES"/>
    <n v="0"/>
    <n v="3"/>
    <x v="0"/>
    <s v="Receivable5584"/>
    <m/>
    <s v=""/>
    <n v="5584"/>
    <x v="109"/>
    <s v="22.10"/>
    <x v="51"/>
    <s v="jmcgovern"/>
    <d v="2023-01-19T10:52:25"/>
    <s v=""/>
    <s v=""/>
    <s v="CRT Transaction"/>
    <b v="1"/>
    <s v="Rev"/>
    <n v="0"/>
    <n v="0"/>
    <n v="204389.87"/>
    <n v="-204389.87"/>
    <s v="01"/>
    <s v="000"/>
    <s v="1210"/>
    <s v="202300"/>
    <s v="0000"/>
  </r>
  <r>
    <x v="0"/>
    <s v="2023 PERSONAL PROPERTY RECEIVABLES"/>
    <n v="0"/>
    <n v="3"/>
    <x v="0"/>
    <s v="Receivable5585"/>
    <m/>
    <s v=""/>
    <n v="5585"/>
    <x v="110"/>
    <s v="22.10"/>
    <x v="52"/>
    <s v="jmcgovern"/>
    <d v="2023-01-19T10:55:03"/>
    <s v=""/>
    <s v=""/>
    <s v="CRT Transaction"/>
    <b v="1"/>
    <s v="Rev"/>
    <n v="0"/>
    <n v="0"/>
    <n v="151025.38"/>
    <n v="-151025.38"/>
    <s v="01"/>
    <s v="000"/>
    <s v="1210"/>
    <s v="202300"/>
    <s v="0000"/>
  </r>
  <r>
    <x v="0"/>
    <s v="2023 PERSONAL PROPERTY RECEIVABLES"/>
    <n v="0"/>
    <n v="3"/>
    <x v="0"/>
    <s v="Receivable5586"/>
    <m/>
    <s v=""/>
    <n v="5586"/>
    <x v="111"/>
    <s v="22.10"/>
    <x v="53"/>
    <s v="jmcgovern"/>
    <d v="2023-01-19T12:49:22"/>
    <s v=""/>
    <s v=""/>
    <s v="CRT Transaction"/>
    <b v="1"/>
    <s v="Rev"/>
    <n v="0"/>
    <n v="0"/>
    <n v="118300.87"/>
    <n v="-118300.87"/>
    <s v="01"/>
    <s v="000"/>
    <s v="1210"/>
    <s v="202300"/>
    <s v="0000"/>
  </r>
  <r>
    <x v="0"/>
    <s v="2023 PERSONAL PROPERTY RECEIVABLES"/>
    <n v="0"/>
    <n v="3"/>
    <x v="0"/>
    <s v="Receivable5588"/>
    <m/>
    <s v=""/>
    <n v="5588"/>
    <x v="112"/>
    <s v="22.10"/>
    <x v="54"/>
    <s v="jmcgovern"/>
    <d v="2023-01-19T12:49:57"/>
    <s v=""/>
    <s v=""/>
    <s v="CRT Transaction"/>
    <b v="1"/>
    <s v="Rev"/>
    <n v="0"/>
    <n v="0"/>
    <n v="216103.72"/>
    <n v="-216103.72"/>
    <s v="01"/>
    <s v="000"/>
    <s v="1210"/>
    <s v="202300"/>
    <s v="0000"/>
  </r>
  <r>
    <x v="0"/>
    <s v="2023 PERSONAL PROPERTY RECEIVABLES"/>
    <n v="0"/>
    <n v="3"/>
    <x v="0"/>
    <s v="Receivable5663"/>
    <m/>
    <s v=""/>
    <n v="5663"/>
    <x v="113"/>
    <s v="22.10"/>
    <x v="55"/>
    <s v="jmcgovern"/>
    <d v="2023-01-19T13:12:44"/>
    <s v=""/>
    <s v=""/>
    <s v="CRT Transaction"/>
    <b v="1"/>
    <s v="Rev"/>
    <n v="0"/>
    <n v="0"/>
    <n v="114.68"/>
    <n v="-114.68"/>
    <s v="01"/>
    <s v="000"/>
    <s v="1210"/>
    <s v="202300"/>
    <s v="0000"/>
  </r>
  <r>
    <x v="0"/>
    <s v="2023 PERSONAL PROPERTY RECEIVABLES"/>
    <n v="0"/>
    <n v="3"/>
    <x v="0"/>
    <s v="Receivable5663"/>
    <m/>
    <s v=""/>
    <n v="5663"/>
    <x v="113"/>
    <s v="22.10"/>
    <x v="55"/>
    <s v="jmcgovern"/>
    <d v="2023-01-19T13:12:44"/>
    <s v=""/>
    <s v=""/>
    <s v="CRT Transaction"/>
    <b v="1"/>
    <s v="Rev"/>
    <n v="0"/>
    <n v="0"/>
    <n v="236549.05"/>
    <n v="-236549.05"/>
    <s v="01"/>
    <s v="000"/>
    <s v="1210"/>
    <s v="202300"/>
    <s v="0000"/>
  </r>
  <r>
    <x v="0"/>
    <s v="2023 PERSONAL PROPERTY RECEIVABLES"/>
    <n v="0"/>
    <n v="3"/>
    <x v="0"/>
    <s v="Receivable5293"/>
    <m/>
    <s v=""/>
    <n v="5293"/>
    <x v="114"/>
    <s v="22.10"/>
    <x v="51"/>
    <s v="jmcgovern"/>
    <d v="2023-01-19T14:39:15"/>
    <s v=""/>
    <s v=""/>
    <s v="CRT Transaction"/>
    <b v="1"/>
    <s v="Rev"/>
    <n v="0"/>
    <n v="0"/>
    <n v="39046.07"/>
    <n v="-39046.07"/>
    <s v="01"/>
    <s v="000"/>
    <s v="1210"/>
    <s v="202300"/>
    <s v="0000"/>
  </r>
  <r>
    <x v="0"/>
    <s v="2023 PERSONAL PROPERTY RECEIVABLES"/>
    <n v="0"/>
    <n v="3"/>
    <x v="0"/>
    <s v="Receivable5294"/>
    <m/>
    <s v=""/>
    <n v="5294"/>
    <x v="115"/>
    <s v="22.10"/>
    <x v="56"/>
    <s v="jmcgovern"/>
    <d v="2023-01-19T14:52:22"/>
    <s v=""/>
    <s v=""/>
    <s v="CRT Transaction"/>
    <b v="1"/>
    <s v="Rev"/>
    <n v="0"/>
    <n v="0"/>
    <n v="117417.79"/>
    <n v="-117417.79"/>
    <s v="01"/>
    <s v="000"/>
    <s v="1210"/>
    <s v="202300"/>
    <s v="0000"/>
  </r>
  <r>
    <x v="0"/>
    <s v="2023 PERSONAL PROPERTY RECEIVABLES"/>
    <n v="0"/>
    <n v="3"/>
    <x v="0"/>
    <s v="Receivable5342"/>
    <m/>
    <s v=""/>
    <n v="5342"/>
    <x v="116"/>
    <s v="22.08"/>
    <x v="33"/>
    <s v="jmcgovern"/>
    <d v="2023-01-24T14:10:08"/>
    <s v=""/>
    <s v=""/>
    <s v="CRT Transaction"/>
    <b v="1"/>
    <s v="Rev"/>
    <n v="0"/>
    <n v="0"/>
    <n v="30.65"/>
    <n v="-30.65"/>
    <s v="01"/>
    <s v="000"/>
    <s v="1210"/>
    <s v="202300"/>
    <s v="0000"/>
  </r>
  <r>
    <x v="0"/>
    <s v="2023 PERSONAL PROPERTY RECEIVABLES"/>
    <n v="0"/>
    <n v="3"/>
    <x v="0"/>
    <s v="Receivable5295"/>
    <m/>
    <s v=""/>
    <n v="5295"/>
    <x v="117"/>
    <s v="22.10"/>
    <x v="57"/>
    <s v="jmcgovern"/>
    <d v="2023-01-25T11:44:28"/>
    <s v=""/>
    <s v=""/>
    <s v="CRT Transaction"/>
    <b v="1"/>
    <s v="Rev"/>
    <n v="0"/>
    <n v="0"/>
    <n v="66330.080000000002"/>
    <n v="-66330.080000000002"/>
    <s v="01"/>
    <s v="000"/>
    <s v="1210"/>
    <s v="202300"/>
    <s v="0000"/>
  </r>
  <r>
    <x v="0"/>
    <s v="2023 PERSONAL PROPERTY RECEIVABLES"/>
    <n v="0"/>
    <n v="3"/>
    <x v="0"/>
    <s v="Receivable5296"/>
    <m/>
    <s v=""/>
    <n v="5296"/>
    <x v="118"/>
    <s v="22.10"/>
    <x v="51"/>
    <s v="jmcgovern"/>
    <d v="2023-01-25T11:44:52"/>
    <s v=""/>
    <s v=""/>
    <s v="CRT Transaction"/>
    <b v="1"/>
    <s v="Rev"/>
    <n v="0"/>
    <n v="0"/>
    <n v="3.35"/>
    <n v="-3.35"/>
    <s v="01"/>
    <s v="000"/>
    <s v="1210"/>
    <s v="202300"/>
    <s v="0000"/>
  </r>
  <r>
    <x v="0"/>
    <s v="2023 PERSONAL PROPERTY RECEIVABLES"/>
    <n v="0"/>
    <n v="3"/>
    <x v="0"/>
    <s v="Receivable5296"/>
    <m/>
    <s v=""/>
    <n v="5296"/>
    <x v="118"/>
    <s v="22.10"/>
    <x v="51"/>
    <s v="jmcgovern"/>
    <d v="2023-01-25T11:44:52"/>
    <s v=""/>
    <s v=""/>
    <s v="CRT Transaction"/>
    <b v="1"/>
    <s v="Rev"/>
    <n v="0"/>
    <n v="0"/>
    <n v="41996.46"/>
    <n v="-41996.46"/>
    <s v="01"/>
    <s v="000"/>
    <s v="1210"/>
    <s v="202300"/>
    <s v="0000"/>
  </r>
  <r>
    <x v="0"/>
    <s v="2023 PERSONAL PROPERTY RECEIVABLES"/>
    <n v="0"/>
    <n v="3"/>
    <x v="0"/>
    <s v="Receivable5305"/>
    <m/>
    <s v=""/>
    <n v="5305"/>
    <x v="119"/>
    <s v="22.10"/>
    <x v="58"/>
    <s v="jmcgovern"/>
    <d v="2023-01-25T12:15:43"/>
    <s v=""/>
    <s v=""/>
    <s v="CRT Transaction"/>
    <b v="1"/>
    <s v="Rev"/>
    <n v="0"/>
    <n v="0"/>
    <n v="2102.9"/>
    <n v="-2102.9"/>
    <s v="01"/>
    <s v="000"/>
    <s v="1210"/>
    <s v="202300"/>
    <s v="0000"/>
  </r>
  <r>
    <x v="0"/>
    <s v="2023 PERSONAL PROPERTY RECEIVABLES"/>
    <n v="0"/>
    <n v="3"/>
    <x v="0"/>
    <s v="Receivable5307"/>
    <m/>
    <s v=""/>
    <n v="5307"/>
    <x v="120"/>
    <s v="22.10"/>
    <x v="59"/>
    <s v="jmcgovern"/>
    <d v="2023-01-25T12:17:17"/>
    <s v=""/>
    <s v=""/>
    <s v="CRT Transaction"/>
    <b v="1"/>
    <s v="Rev"/>
    <n v="0"/>
    <n v="0"/>
    <n v="135388.85999999999"/>
    <n v="-135388.85999999999"/>
    <s v="01"/>
    <s v="000"/>
    <s v="1210"/>
    <s v="202300"/>
    <s v="0000"/>
  </r>
  <r>
    <x v="0"/>
    <s v="2023 PERSONAL PROPERTY RECEIVABLES"/>
    <n v="0"/>
    <n v="3"/>
    <x v="0"/>
    <s v="Receivable5312"/>
    <m/>
    <s v=""/>
    <n v="5312"/>
    <x v="121"/>
    <s v="22.10"/>
    <x v="52"/>
    <s v="jmcgovern"/>
    <d v="2023-01-25T13:52:39"/>
    <s v=""/>
    <s v=""/>
    <s v="CRT Transaction"/>
    <b v="1"/>
    <s v="Rev"/>
    <n v="0"/>
    <n v="0"/>
    <n v="195.87"/>
    <n v="-195.87"/>
    <s v="01"/>
    <s v="000"/>
    <s v="1210"/>
    <s v="202300"/>
    <s v="0000"/>
  </r>
  <r>
    <x v="0"/>
    <s v="2023 PERSONAL PROPERTY RECEIVABLES"/>
    <n v="0"/>
    <n v="3"/>
    <x v="0"/>
    <s v="Receivable5312"/>
    <m/>
    <s v=""/>
    <n v="5312"/>
    <x v="121"/>
    <s v="22.10"/>
    <x v="52"/>
    <s v="jmcgovern"/>
    <d v="2023-01-25T13:52:39"/>
    <s v=""/>
    <s v=""/>
    <s v="CRT Transaction"/>
    <b v="1"/>
    <s v="Rev"/>
    <n v="0"/>
    <n v="0"/>
    <n v="58512.68"/>
    <n v="-58512.68"/>
    <s v="01"/>
    <s v="000"/>
    <s v="1210"/>
    <s v="202300"/>
    <s v="0000"/>
  </r>
  <r>
    <x v="0"/>
    <s v="2023 PERSONAL PROPERTY RECEIVABLES"/>
    <n v="0"/>
    <n v="3"/>
    <x v="0"/>
    <s v="Receivable5313"/>
    <m/>
    <s v=""/>
    <n v="5313"/>
    <x v="122"/>
    <s v="22.10"/>
    <x v="52"/>
    <s v="jmcgovern"/>
    <d v="2023-01-25T13:53:12"/>
    <s v=""/>
    <s v=""/>
    <s v="CRT Transaction"/>
    <b v="1"/>
    <s v="Rev"/>
    <n v="0"/>
    <n v="0"/>
    <n v="51476.74"/>
    <n v="-51476.74"/>
    <s v="01"/>
    <s v="000"/>
    <s v="1210"/>
    <s v="202300"/>
    <s v="0000"/>
  </r>
  <r>
    <x v="0"/>
    <s v="2023 PERSONAL PROPERTY RECEIVABLES"/>
    <n v="0"/>
    <n v="3"/>
    <x v="0"/>
    <s v="Receivable5335"/>
    <m/>
    <s v=""/>
    <n v="5335"/>
    <x v="123"/>
    <s v="22.10"/>
    <x v="60"/>
    <s v="jmcgovern"/>
    <d v="2023-01-25T13:53:26"/>
    <s v=""/>
    <s v=""/>
    <s v="CRT Transaction"/>
    <b v="1"/>
    <s v="Rev"/>
    <n v="0"/>
    <n v="0"/>
    <n v="284.69"/>
    <n v="-284.69"/>
    <s v="01"/>
    <s v="000"/>
    <s v="1210"/>
    <s v="202300"/>
    <s v="0000"/>
  </r>
  <r>
    <x v="0"/>
    <s v="2023 PERSONAL PROPERTY RECEIVABLES"/>
    <n v="0"/>
    <n v="3"/>
    <x v="0"/>
    <s v="Receivable5335"/>
    <m/>
    <s v=""/>
    <n v="5335"/>
    <x v="123"/>
    <s v="22.10"/>
    <x v="60"/>
    <s v="jmcgovern"/>
    <d v="2023-01-25T13:53:26"/>
    <s v=""/>
    <s v=""/>
    <s v="CRT Transaction"/>
    <b v="1"/>
    <s v="Rev"/>
    <n v="0"/>
    <n v="0"/>
    <n v="572753.80000000005"/>
    <n v="-572753.80000000005"/>
    <s v="01"/>
    <s v="000"/>
    <s v="1210"/>
    <s v="202300"/>
    <s v="0000"/>
  </r>
  <r>
    <x v="0"/>
    <s v="2023 PERSONAL PROPERTY RECEIVABLES"/>
    <n v="0"/>
    <n v="3"/>
    <x v="0"/>
    <s v="Receivable5336"/>
    <m/>
    <s v=""/>
    <n v="5336"/>
    <x v="124"/>
    <s v="22.10"/>
    <x v="61"/>
    <s v="jmcgovern"/>
    <d v="2023-01-25T14:53:37"/>
    <s v=""/>
    <s v=""/>
    <s v="CRT Transaction"/>
    <b v="1"/>
    <s v="Rev"/>
    <n v="0"/>
    <n v="0"/>
    <n v="3198"/>
    <n v="-3198"/>
    <s v="01"/>
    <s v="000"/>
    <s v="1210"/>
    <s v="202300"/>
    <s v="0000"/>
  </r>
  <r>
    <x v="0"/>
    <s v="2023 PERSONAL PROPERTY RECEIVABLES"/>
    <n v="0"/>
    <n v="3"/>
    <x v="0"/>
    <s v="Receivable5377"/>
    <m/>
    <s v=""/>
    <n v="5377"/>
    <x v="125"/>
    <s v="22.10"/>
    <x v="62"/>
    <s v="jmcgovern"/>
    <d v="2023-01-25T15:01:54"/>
    <s v=""/>
    <s v=""/>
    <s v="CRT Transaction"/>
    <b v="1"/>
    <s v="Rev"/>
    <n v="0"/>
    <n v="0"/>
    <n v="78180.02"/>
    <n v="-78180.02"/>
    <s v="01"/>
    <s v="000"/>
    <s v="1210"/>
    <s v="202300"/>
    <s v="0000"/>
  </r>
  <r>
    <x v="0"/>
    <s v="2023 PERSONAL PROPERTY RECEIVABLES"/>
    <n v="0"/>
    <n v="3"/>
    <x v="0"/>
    <s v="Receivable5382"/>
    <m/>
    <s v=""/>
    <n v="5382"/>
    <x v="126"/>
    <s v="22.10"/>
    <x v="63"/>
    <s v="jmcgovern"/>
    <d v="2023-01-25T15:10:56"/>
    <s v=""/>
    <s v=""/>
    <s v="CRT Transaction"/>
    <b v="1"/>
    <s v="Rev"/>
    <n v="0"/>
    <n v="0"/>
    <n v="13724.68"/>
    <n v="-13724.68"/>
    <s v="01"/>
    <s v="000"/>
    <s v="1210"/>
    <s v="202300"/>
    <s v="0000"/>
  </r>
  <r>
    <x v="0"/>
    <s v="2023 PERSONAL PROPERTY RECEIVABLES"/>
    <n v="0"/>
    <n v="3"/>
    <x v="0"/>
    <s v="Receivable5672"/>
    <m/>
    <s v=""/>
    <n v="5672"/>
    <x v="127"/>
    <s v="22.10"/>
    <x v="64"/>
    <s v="jmcgovern"/>
    <d v="2023-01-26T10:24:55"/>
    <s v=""/>
    <s v=""/>
    <s v="CRT Transaction"/>
    <b v="1"/>
    <s v="Rev"/>
    <n v="0"/>
    <n v="3274.25"/>
    <n v="0"/>
    <n v="3274.25"/>
    <s v="01"/>
    <s v="000"/>
    <s v="1210"/>
    <s v="202300"/>
    <s v="0000"/>
  </r>
  <r>
    <x v="0"/>
    <s v="2023 PERSONAL PROPERTY RECEIVABLES"/>
    <n v="0"/>
    <n v="3"/>
    <x v="0"/>
    <s v="Receivable5454"/>
    <m/>
    <s v=""/>
    <n v="5454"/>
    <x v="128"/>
    <s v="22.10"/>
    <x v="63"/>
    <s v="jmcgovern"/>
    <d v="2023-01-26T10:38:00"/>
    <s v=""/>
    <s v=""/>
    <s v="CRT Transaction"/>
    <b v="1"/>
    <s v="Rev"/>
    <n v="0"/>
    <n v="0"/>
    <n v="35.85"/>
    <n v="-35.85"/>
    <s v="01"/>
    <s v="000"/>
    <s v="1210"/>
    <s v="202300"/>
    <s v="0000"/>
  </r>
  <r>
    <x v="0"/>
    <s v="2023 PERSONAL PROPERTY RECEIVABLES"/>
    <n v="0"/>
    <n v="3"/>
    <x v="0"/>
    <s v="Receivable5454"/>
    <m/>
    <s v=""/>
    <n v="5454"/>
    <x v="128"/>
    <s v="22.10"/>
    <x v="63"/>
    <s v="jmcgovern"/>
    <d v="2023-01-26T10:38:00"/>
    <s v=""/>
    <s v=""/>
    <s v="CRT Transaction"/>
    <b v="1"/>
    <s v="Rev"/>
    <n v="0"/>
    <n v="0"/>
    <n v="25697.35"/>
    <n v="-25697.35"/>
    <s v="01"/>
    <s v="000"/>
    <s v="1210"/>
    <s v="202300"/>
    <s v="0000"/>
  </r>
  <r>
    <x v="0"/>
    <s v="2023 PERSONAL PROPERTY RECEIVABLES"/>
    <n v="0"/>
    <n v="3"/>
    <x v="0"/>
    <s v="Receivable5455"/>
    <m/>
    <s v=""/>
    <n v="5455"/>
    <x v="129"/>
    <s v="22.10"/>
    <x v="53"/>
    <s v="jmcgovern"/>
    <d v="2023-01-26T10:38:38"/>
    <s v=""/>
    <s v=""/>
    <s v="CRT Transaction"/>
    <b v="1"/>
    <s v="Rev"/>
    <n v="0"/>
    <n v="0"/>
    <n v="28941.95"/>
    <n v="-28941.95"/>
    <s v="01"/>
    <s v="000"/>
    <s v="1210"/>
    <s v="202300"/>
    <s v="0000"/>
  </r>
  <r>
    <x v="0"/>
    <s v="2023 PERSONAL PROPERTY RECEIVABLES"/>
    <n v="0"/>
    <n v="3"/>
    <x v="0"/>
    <s v="Receivable5456"/>
    <m/>
    <s v=""/>
    <n v="5456"/>
    <x v="130"/>
    <s v="22.10"/>
    <x v="64"/>
    <s v="jmcgovern"/>
    <d v="2023-01-26T10:42:19"/>
    <s v=""/>
    <s v=""/>
    <s v="CRT Transaction"/>
    <b v="1"/>
    <s v="Rev"/>
    <n v="0"/>
    <n v="0"/>
    <n v="75311.199999999997"/>
    <n v="-75311.199999999997"/>
    <s v="01"/>
    <s v="000"/>
    <s v="1210"/>
    <s v="202300"/>
    <s v="0000"/>
  </r>
  <r>
    <x v="0"/>
    <s v="2023 PERSONAL PROPERTY RECEIVABLES"/>
    <n v="0"/>
    <n v="3"/>
    <x v="0"/>
    <s v="Receivable5457"/>
    <m/>
    <s v=""/>
    <n v="5457"/>
    <x v="131"/>
    <s v="22.10"/>
    <x v="65"/>
    <s v="jmcgovern"/>
    <d v="2023-01-26T10:45:20"/>
    <s v=""/>
    <s v=""/>
    <s v="CRT Transaction"/>
    <b v="1"/>
    <s v="Rev"/>
    <n v="0"/>
    <n v="0"/>
    <n v="23200.42"/>
    <n v="-23200.42"/>
    <s v="01"/>
    <s v="000"/>
    <s v="1210"/>
    <s v="202300"/>
    <s v="0000"/>
  </r>
  <r>
    <x v="0"/>
    <s v="2023 PERSONAL PROPERTY RECEIVABLES"/>
    <n v="0"/>
    <n v="3"/>
    <x v="0"/>
    <s v="Receivable5458"/>
    <m/>
    <s v=""/>
    <n v="5458"/>
    <x v="132"/>
    <s v="22.10"/>
    <x v="66"/>
    <s v="jmcgovern"/>
    <d v="2023-01-26T10:45:44"/>
    <s v=""/>
    <s v=""/>
    <s v="CRT Transaction"/>
    <b v="1"/>
    <s v="Rev"/>
    <n v="0"/>
    <n v="0"/>
    <n v="79.91"/>
    <n v="-79.91"/>
    <s v="01"/>
    <s v="000"/>
    <s v="1210"/>
    <s v="202300"/>
    <s v="0000"/>
  </r>
  <r>
    <x v="0"/>
    <s v="2023 PERSONAL PROPERTY RECEIVABLES"/>
    <n v="0"/>
    <n v="3"/>
    <x v="0"/>
    <s v="Receivable5458"/>
    <m/>
    <s v=""/>
    <n v="5458"/>
    <x v="132"/>
    <s v="22.10"/>
    <x v="66"/>
    <s v="jmcgovern"/>
    <d v="2023-01-26T10:45:44"/>
    <s v=""/>
    <s v=""/>
    <s v="CRT Transaction"/>
    <b v="1"/>
    <s v="Rev"/>
    <n v="0"/>
    <n v="0"/>
    <n v="94926.33"/>
    <n v="-94926.33"/>
    <s v="01"/>
    <s v="000"/>
    <s v="1210"/>
    <s v="202300"/>
    <s v="0000"/>
  </r>
  <r>
    <x v="0"/>
    <s v="2023 PERSONAL PROPERTY RECEIVABLES"/>
    <n v="0"/>
    <n v="3"/>
    <x v="0"/>
    <s v="Receivable5460"/>
    <m/>
    <s v=""/>
    <n v="5460"/>
    <x v="133"/>
    <s v="22.10"/>
    <x v="67"/>
    <s v="jmcgovern"/>
    <d v="2023-01-26T10:46:14"/>
    <s v=""/>
    <s v=""/>
    <s v="CRT Transaction"/>
    <b v="1"/>
    <s v="Rev"/>
    <n v="0"/>
    <n v="0"/>
    <n v="69325.2"/>
    <n v="-69325.2"/>
    <s v="01"/>
    <s v="000"/>
    <s v="1210"/>
    <s v="202300"/>
    <s v="0000"/>
  </r>
  <r>
    <x v="0"/>
    <s v="2023 PERSONAL PROPERTY RECEIVABLES"/>
    <n v="0"/>
    <n v="3"/>
    <x v="0"/>
    <s v="Receivable5461"/>
    <m/>
    <s v=""/>
    <n v="5461"/>
    <x v="134"/>
    <s v="22.10"/>
    <x v="68"/>
    <s v="jmcgovern"/>
    <d v="2023-01-26T11:05:40"/>
    <s v=""/>
    <s v=""/>
    <s v="CRT Transaction"/>
    <b v="1"/>
    <s v="Rev"/>
    <n v="0"/>
    <n v="0"/>
    <n v="56025.66"/>
    <n v="-56025.66"/>
    <s v="01"/>
    <s v="000"/>
    <s v="1210"/>
    <s v="202300"/>
    <s v="0000"/>
  </r>
  <r>
    <x v="0"/>
    <s v="2023 PERSONAL PROPERTY RECEIVABLES"/>
    <n v="0"/>
    <n v="3"/>
    <x v="0"/>
    <s v="Receivable5463"/>
    <m/>
    <s v=""/>
    <n v="5463"/>
    <x v="135"/>
    <s v="22.10"/>
    <x v="54"/>
    <s v="jmcgovern"/>
    <d v="2023-01-26T12:01:47"/>
    <s v=""/>
    <s v=""/>
    <s v="CRT Transaction"/>
    <b v="1"/>
    <s v="Rev"/>
    <n v="0"/>
    <n v="0"/>
    <n v="121439.76"/>
    <n v="-121439.76"/>
    <s v="01"/>
    <s v="000"/>
    <s v="1210"/>
    <s v="202300"/>
    <s v="0000"/>
  </r>
  <r>
    <x v="0"/>
    <s v="2023 PERSONAL PROPERTY RECEIVABLES"/>
    <n v="0"/>
    <n v="3"/>
    <x v="0"/>
    <s v="Receivable5463"/>
    <m/>
    <s v=""/>
    <n v="5463"/>
    <x v="135"/>
    <s v="22.10"/>
    <x v="54"/>
    <s v="jmcgovern"/>
    <d v="2023-01-26T12:01:47"/>
    <s v=""/>
    <s v=""/>
    <s v="CRT Transaction"/>
    <b v="1"/>
    <s v="Rev"/>
    <n v="0"/>
    <n v="0"/>
    <n v="561724.86"/>
    <n v="-561724.86"/>
    <s v="01"/>
    <s v="000"/>
    <s v="1210"/>
    <s v="202300"/>
    <s v="0000"/>
  </r>
  <r>
    <x v="0"/>
    <s v="2023 PERSONAL PROPERTY RECEIVABLES"/>
    <n v="0"/>
    <n v="3"/>
    <x v="0"/>
    <s v="Receivable5309"/>
    <m/>
    <s v=""/>
    <n v="5309"/>
    <x v="136"/>
    <s v="22.10"/>
    <x v="69"/>
    <s v="jmcgovern"/>
    <d v="2023-01-26T12:20:56"/>
    <s v=""/>
    <s v=""/>
    <s v="CRT Transaction"/>
    <b v="1"/>
    <s v="Rev"/>
    <n v="0"/>
    <n v="0"/>
    <n v="101744.73"/>
    <n v="-101744.73"/>
    <s v="01"/>
    <s v="000"/>
    <s v="1210"/>
    <s v="202300"/>
    <s v="0000"/>
  </r>
  <r>
    <x v="0"/>
    <s v="2023 PERSONAL PROPERTY RECEIVABLES"/>
    <n v="0"/>
    <n v="3"/>
    <x v="0"/>
    <s v="Receivable5589"/>
    <m/>
    <s v=""/>
    <n v="5589"/>
    <x v="137"/>
    <s v="22.11"/>
    <x v="70"/>
    <s v="jmcgovern"/>
    <d v="2023-03-23T09:54:34"/>
    <s v=""/>
    <s v=""/>
    <s v="CRT Transaction"/>
    <b v="1"/>
    <s v="Rev"/>
    <n v="0"/>
    <n v="0"/>
    <n v="128.49"/>
    <n v="-128.49"/>
    <s v="01"/>
    <s v="000"/>
    <s v="1210"/>
    <s v="202300"/>
    <s v="0000"/>
  </r>
  <r>
    <x v="0"/>
    <s v="2023 PERSONAL PROPERTY RECEIVABLES"/>
    <n v="0"/>
    <n v="3"/>
    <x v="0"/>
    <s v="Receivable5589"/>
    <m/>
    <s v=""/>
    <n v="5589"/>
    <x v="137"/>
    <s v="22.11"/>
    <x v="70"/>
    <s v="jmcgovern"/>
    <d v="2023-03-23T09:54:34"/>
    <s v=""/>
    <s v=""/>
    <s v="CRT Transaction"/>
    <b v="1"/>
    <s v="Rev"/>
    <n v="0"/>
    <n v="0"/>
    <n v="543380.31000000006"/>
    <n v="-543380.31000000006"/>
    <s v="01"/>
    <s v="000"/>
    <s v="1210"/>
    <s v="202300"/>
    <s v="0000"/>
  </r>
  <r>
    <x v="0"/>
    <s v="2023 PERSONAL PROPERTY RECEIVABLES"/>
    <n v="0"/>
    <n v="3"/>
    <x v="0"/>
    <s v="Receivable5590"/>
    <m/>
    <s v=""/>
    <n v="5590"/>
    <x v="138"/>
    <s v="22.11"/>
    <x v="71"/>
    <s v="jmcgovern"/>
    <d v="2023-03-23T09:54:51"/>
    <s v=""/>
    <s v=""/>
    <s v="CRT Transaction"/>
    <b v="1"/>
    <s v="Rev"/>
    <n v="0"/>
    <n v="0"/>
    <n v="95716.06"/>
    <n v="-95716.06"/>
    <s v="01"/>
    <s v="000"/>
    <s v="1210"/>
    <s v="202300"/>
    <s v="0000"/>
  </r>
  <r>
    <x v="0"/>
    <s v="2023 PERSONAL PROPERTY RECEIVABLES"/>
    <n v="0"/>
    <n v="3"/>
    <x v="0"/>
    <s v="Receivable5591"/>
    <m/>
    <s v=""/>
    <n v="5591"/>
    <x v="139"/>
    <s v="22.11"/>
    <x v="72"/>
    <s v="jmcgovern"/>
    <d v="2023-03-23T09:55:00"/>
    <s v=""/>
    <s v=""/>
    <s v="CRT Transaction"/>
    <b v="1"/>
    <s v="Rev"/>
    <n v="0"/>
    <n v="0"/>
    <n v="35.69"/>
    <n v="-35.69"/>
    <s v="01"/>
    <s v="000"/>
    <s v="1210"/>
    <s v="202300"/>
    <s v="0000"/>
  </r>
  <r>
    <x v="0"/>
    <s v="2023 PERSONAL PROPERTY RECEIVABLES"/>
    <n v="0"/>
    <n v="3"/>
    <x v="0"/>
    <s v="Receivable5691"/>
    <m/>
    <s v=""/>
    <n v="5691"/>
    <x v="140"/>
    <s v="22.11"/>
    <x v="73"/>
    <s v="jmcgovern"/>
    <d v="2023-03-23T09:55:18"/>
    <s v=""/>
    <s v=""/>
    <s v="CRT Transaction"/>
    <b v="1"/>
    <s v="Rev"/>
    <n v="0"/>
    <n v="0"/>
    <n v="148424.32000000001"/>
    <n v="-148424.32000000001"/>
    <s v="01"/>
    <s v="000"/>
    <s v="1210"/>
    <s v="202300"/>
    <s v="0000"/>
  </r>
  <r>
    <x v="0"/>
    <s v="2023 PERSONAL PROPERTY RECEIVABLES"/>
    <n v="0"/>
    <n v="3"/>
    <x v="0"/>
    <s v="Receivable5692"/>
    <m/>
    <s v=""/>
    <n v="5692"/>
    <x v="141"/>
    <s v="22.11"/>
    <x v="73"/>
    <s v="jmcgovern"/>
    <d v="2023-03-23T09:55:42"/>
    <s v=""/>
    <s v=""/>
    <s v="CRT Transaction"/>
    <b v="1"/>
    <s v="Rev"/>
    <n v="0"/>
    <n v="0"/>
    <n v="2635156.17"/>
    <n v="-2635156.17"/>
    <s v="01"/>
    <s v="000"/>
    <s v="1210"/>
    <s v="202300"/>
    <s v="0000"/>
  </r>
  <r>
    <x v="0"/>
    <s v="2023 PERSONAL PROPERTY RECEIVABLES"/>
    <n v="0"/>
    <n v="3"/>
    <x v="0"/>
    <s v="Receivable5465"/>
    <m/>
    <s v=""/>
    <n v="5465"/>
    <x v="142"/>
    <s v="22.11"/>
    <x v="73"/>
    <s v="jmcgovern"/>
    <d v="2023-03-23T09:56:21"/>
    <s v=""/>
    <s v=""/>
    <s v="CRT Transaction"/>
    <b v="1"/>
    <s v="Rev"/>
    <n v="0"/>
    <n v="0"/>
    <n v="124.63"/>
    <n v="-124.63"/>
    <s v="01"/>
    <s v="000"/>
    <s v="1210"/>
    <s v="202300"/>
    <s v="0000"/>
  </r>
  <r>
    <x v="0"/>
    <s v="2023 PERSONAL PROPERTY RECEIVABLES"/>
    <n v="0"/>
    <n v="3"/>
    <x v="0"/>
    <s v="Receivable5465"/>
    <m/>
    <s v=""/>
    <n v="5465"/>
    <x v="142"/>
    <s v="22.11"/>
    <x v="73"/>
    <s v="jmcgovern"/>
    <d v="2023-03-23T09:56:21"/>
    <s v=""/>
    <s v=""/>
    <s v="CRT Transaction"/>
    <b v="1"/>
    <s v="Rev"/>
    <n v="0"/>
    <n v="0"/>
    <n v="174037.54"/>
    <n v="-174037.54"/>
    <s v="01"/>
    <s v="000"/>
    <s v="1210"/>
    <s v="202300"/>
    <s v="0000"/>
  </r>
  <r>
    <x v="0"/>
    <s v="2023 PERSONAL PROPERTY RECEIVABLES"/>
    <n v="0"/>
    <n v="3"/>
    <x v="0"/>
    <s v="Receivable5652"/>
    <m/>
    <s v=""/>
    <n v="5652"/>
    <x v="143"/>
    <s v="22.11"/>
    <x v="73"/>
    <s v="jmcgovern"/>
    <d v="2023-03-23T09:56:36"/>
    <s v=""/>
    <s v=""/>
    <s v="CRT Transaction"/>
    <b v="1"/>
    <s v="Rev"/>
    <n v="0"/>
    <n v="0"/>
    <n v="111892.23"/>
    <n v="-111892.23"/>
    <s v="01"/>
    <s v="000"/>
    <s v="1210"/>
    <s v="202300"/>
    <s v="0000"/>
  </r>
  <r>
    <x v="0"/>
    <s v="2023 PERSONAL PROPERTY RECEIVABLES"/>
    <n v="0"/>
    <n v="3"/>
    <x v="0"/>
    <s v="Receivable5479"/>
    <m/>
    <s v=""/>
    <n v="5479"/>
    <x v="144"/>
    <s v="22.11"/>
    <x v="73"/>
    <s v="jmcgovern"/>
    <d v="2023-03-23T09:57:06"/>
    <s v=""/>
    <s v=""/>
    <s v="CRT Transaction"/>
    <b v="1"/>
    <s v="Rev"/>
    <n v="0"/>
    <n v="0"/>
    <n v="5492.3"/>
    <n v="-5492.3"/>
    <s v="01"/>
    <s v="000"/>
    <s v="1210"/>
    <s v="202300"/>
    <s v="0000"/>
  </r>
  <r>
    <x v="0"/>
    <s v="2023 PERSONAL PROPERTY RECEIVABLES"/>
    <n v="0"/>
    <n v="3"/>
    <x v="0"/>
    <s v="Receivable5479"/>
    <m/>
    <s v=""/>
    <n v="5479"/>
    <x v="144"/>
    <s v="22.11"/>
    <x v="73"/>
    <s v="jmcgovern"/>
    <d v="2023-03-23T09:57:06"/>
    <s v=""/>
    <s v=""/>
    <s v="CRT Transaction"/>
    <b v="1"/>
    <s v="Rev"/>
    <n v="0"/>
    <n v="0"/>
    <n v="158749.96"/>
    <n v="-158749.96"/>
    <s v="01"/>
    <s v="000"/>
    <s v="1210"/>
    <s v="202300"/>
    <s v="0000"/>
  </r>
  <r>
    <x v="0"/>
    <s v="2023 PERSONAL PROPERTY RECEIVABLES"/>
    <n v="0"/>
    <n v="3"/>
    <x v="0"/>
    <s v="Receivable5481"/>
    <m/>
    <s v=""/>
    <n v="5481"/>
    <x v="145"/>
    <s v="22.11"/>
    <x v="73"/>
    <s v="jmcgovern"/>
    <d v="2023-03-23T09:57:19"/>
    <s v=""/>
    <s v=""/>
    <s v="CRT Transaction"/>
    <b v="1"/>
    <s v="Rev"/>
    <n v="0"/>
    <n v="0"/>
    <n v="190.51"/>
    <n v="-190.51"/>
    <s v="01"/>
    <s v="000"/>
    <s v="1210"/>
    <s v="202300"/>
    <s v="0000"/>
  </r>
  <r>
    <x v="0"/>
    <s v="2023 PERSONAL PROPERTY RECEIVABLES"/>
    <n v="0"/>
    <n v="3"/>
    <x v="0"/>
    <s v="Receivable5481"/>
    <m/>
    <s v=""/>
    <n v="5481"/>
    <x v="145"/>
    <s v="22.11"/>
    <x v="73"/>
    <s v="jmcgovern"/>
    <d v="2023-03-23T09:57:19"/>
    <s v=""/>
    <s v=""/>
    <s v="CRT Transaction"/>
    <b v="1"/>
    <s v="Rev"/>
    <n v="0"/>
    <n v="0"/>
    <n v="56941.97"/>
    <n v="-56941.97"/>
    <s v="01"/>
    <s v="000"/>
    <s v="1210"/>
    <s v="202300"/>
    <s v="0000"/>
  </r>
  <r>
    <x v="0"/>
    <s v="2023 PERSONAL PROPERTY RECEIVABLES"/>
    <n v="0"/>
    <n v="3"/>
    <x v="0"/>
    <s v="Receivable5482"/>
    <m/>
    <s v=""/>
    <n v="5482"/>
    <x v="146"/>
    <s v="22.11"/>
    <x v="73"/>
    <s v="jmcgovern"/>
    <d v="2023-03-23T11:10:34"/>
    <s v=""/>
    <s v=""/>
    <s v="CRT Transaction"/>
    <b v="1"/>
    <s v="Rev"/>
    <n v="0"/>
    <n v="0"/>
    <n v="943516.63"/>
    <n v="-943516.63"/>
    <s v="01"/>
    <s v="000"/>
    <s v="1210"/>
    <s v="202300"/>
    <s v="0000"/>
  </r>
  <r>
    <x v="0"/>
    <s v="2023 PERSONAL PROPERTY RECEIVABLES"/>
    <n v="0"/>
    <n v="3"/>
    <x v="0"/>
    <s v="Receivable5485"/>
    <m/>
    <s v=""/>
    <n v="5485"/>
    <x v="147"/>
    <s v="22.11"/>
    <x v="74"/>
    <s v="jmcgovern"/>
    <d v="2023-03-23T11:16:08"/>
    <s v=""/>
    <s v=""/>
    <s v="CRT Transaction"/>
    <b v="1"/>
    <s v="Rev"/>
    <n v="0"/>
    <n v="0"/>
    <n v="7312.96"/>
    <n v="-7312.96"/>
    <s v="01"/>
    <s v="000"/>
    <s v="1210"/>
    <s v="202300"/>
    <s v="0000"/>
  </r>
  <r>
    <x v="0"/>
    <s v="2023 PERSONAL PROPERTY RECEIVABLES"/>
    <n v="0"/>
    <n v="3"/>
    <x v="0"/>
    <s v="Receivable5525"/>
    <m/>
    <s v=""/>
    <n v="5525"/>
    <x v="148"/>
    <s v="22.11"/>
    <x v="75"/>
    <s v="jmcgovern"/>
    <d v="2023-03-23T11:27:43"/>
    <s v=""/>
    <s v=""/>
    <s v="CRT Transaction"/>
    <b v="1"/>
    <s v="Rev"/>
    <n v="0"/>
    <n v="0"/>
    <n v="10375.870000000001"/>
    <n v="-10375.870000000001"/>
    <s v="01"/>
    <s v="000"/>
    <s v="1210"/>
    <s v="202300"/>
    <s v="0000"/>
  </r>
  <r>
    <x v="0"/>
    <s v="2023 PERSONAL PROPERTY RECEIVABLES"/>
    <n v="0"/>
    <n v="3"/>
    <x v="0"/>
    <s v="Receivable5533"/>
    <m/>
    <s v=""/>
    <n v="5533"/>
    <x v="149"/>
    <s v="22.11"/>
    <x v="76"/>
    <s v="jmcgovern"/>
    <d v="2023-03-23T11:28:02"/>
    <s v=""/>
    <s v=""/>
    <s v="CRT Transaction"/>
    <b v="1"/>
    <s v="Rev"/>
    <n v="0"/>
    <n v="0"/>
    <n v="154687.17000000001"/>
    <n v="-154687.17000000001"/>
    <s v="01"/>
    <s v="000"/>
    <s v="1210"/>
    <s v="202300"/>
    <s v="0000"/>
  </r>
  <r>
    <x v="0"/>
    <s v="2023 PERSONAL PROPERTY RECEIVABLES"/>
    <n v="0"/>
    <n v="3"/>
    <x v="0"/>
    <s v="Receivable6008"/>
    <m/>
    <s v=""/>
    <n v="6008"/>
    <x v="150"/>
    <s v="22.11"/>
    <x v="77"/>
    <s v="jmcgovern"/>
    <d v="2023-03-23T12:02:38"/>
    <s v=""/>
    <s v=""/>
    <s v="CRT Transaction"/>
    <b v="1"/>
    <s v="Rev"/>
    <n v="0"/>
    <n v="0"/>
    <n v="19036.87"/>
    <n v="-19036.87"/>
    <s v="01"/>
    <s v="000"/>
    <s v="1210"/>
    <s v="202300"/>
    <s v="0000"/>
  </r>
  <r>
    <x v="0"/>
    <s v="2023 PERSONAL PROPERTY RECEIVABLES"/>
    <n v="0"/>
    <n v="3"/>
    <x v="0"/>
    <s v="Receivable5706"/>
    <m/>
    <s v=""/>
    <n v="5706"/>
    <x v="151"/>
    <s v="22.12"/>
    <x v="78"/>
    <s v="jmcgovern"/>
    <d v="2023-03-23T13:02:10"/>
    <s v=""/>
    <s v=""/>
    <s v="CRT Transaction"/>
    <b v="1"/>
    <s v="Rev"/>
    <n v="0"/>
    <n v="0"/>
    <n v="243.35"/>
    <n v="-243.35"/>
    <s v="01"/>
    <s v="000"/>
    <s v="1210"/>
    <s v="202300"/>
    <s v="0000"/>
  </r>
  <r>
    <x v="0"/>
    <s v="2023 PERSONAL PROPERTY RECEIVABLES"/>
    <n v="0"/>
    <n v="3"/>
    <x v="0"/>
    <s v="Receivable5706"/>
    <m/>
    <s v=""/>
    <n v="5706"/>
    <x v="151"/>
    <s v="22.12"/>
    <x v="78"/>
    <s v="jmcgovern"/>
    <d v="2023-03-23T13:02:10"/>
    <s v=""/>
    <s v=""/>
    <s v="CRT Transaction"/>
    <b v="1"/>
    <s v="Rev"/>
    <n v="0"/>
    <n v="0"/>
    <n v="122558.44"/>
    <n v="-122558.44"/>
    <s v="01"/>
    <s v="000"/>
    <s v="1210"/>
    <s v="202300"/>
    <s v="0000"/>
  </r>
  <r>
    <x v="0"/>
    <s v="2023 PERSONAL PROPERTY RECEIVABLES"/>
    <n v="0"/>
    <n v="3"/>
    <x v="0"/>
    <s v="Receivable5712"/>
    <m/>
    <s v=""/>
    <n v="5712"/>
    <x v="152"/>
    <s v="22.12"/>
    <x v="79"/>
    <s v="jmcgovern"/>
    <d v="2023-03-23T13:13:32"/>
    <s v=""/>
    <s v=""/>
    <s v="CRT Transaction"/>
    <b v="1"/>
    <s v="Rev"/>
    <n v="0"/>
    <n v="0"/>
    <n v="6408.98"/>
    <n v="-6408.98"/>
    <s v="01"/>
    <s v="000"/>
    <s v="1210"/>
    <s v="202300"/>
    <s v="0000"/>
  </r>
  <r>
    <x v="0"/>
    <s v="2023 PERSONAL PROPERTY RECEIVABLES"/>
    <n v="0"/>
    <n v="3"/>
    <x v="0"/>
    <s v="Receivable5635"/>
    <m/>
    <s v=""/>
    <n v="5635"/>
    <x v="153"/>
    <s v="22.12"/>
    <x v="80"/>
    <s v="jmcgovern"/>
    <d v="2023-03-23T13:44:53"/>
    <s v=""/>
    <s v=""/>
    <s v="CRT Transaction"/>
    <b v="1"/>
    <s v="Rev"/>
    <n v="0"/>
    <n v="0"/>
    <n v="21692.080000000002"/>
    <n v="-21692.080000000002"/>
    <s v="01"/>
    <s v="000"/>
    <s v="1210"/>
    <s v="202300"/>
    <s v="0000"/>
  </r>
  <r>
    <x v="0"/>
    <s v="2023 PERSONAL PROPERTY RECEIVABLES"/>
    <n v="0"/>
    <n v="3"/>
    <x v="0"/>
    <s v="Receivable5734"/>
    <m/>
    <s v=""/>
    <n v="5734"/>
    <x v="154"/>
    <s v="22.12"/>
    <x v="81"/>
    <s v="jmcgovern"/>
    <d v="2023-03-23T13:45:10"/>
    <s v=""/>
    <s v=""/>
    <s v="CRT Transaction"/>
    <b v="1"/>
    <s v="Rev"/>
    <n v="0"/>
    <n v="0"/>
    <n v="4644.05"/>
    <n v="-4644.05"/>
    <s v="01"/>
    <s v="000"/>
    <s v="1210"/>
    <s v="202300"/>
    <s v="0000"/>
  </r>
  <r>
    <x v="0"/>
    <s v="2023 PERSONAL PROPERTY RECEIVABLES"/>
    <n v="0"/>
    <n v="3"/>
    <x v="0"/>
    <s v="Receivable5648"/>
    <m/>
    <s v=""/>
    <n v="5648"/>
    <x v="155"/>
    <s v="22.12"/>
    <x v="81"/>
    <s v="jmcgovern"/>
    <d v="2023-03-23T13:45:53"/>
    <s v=""/>
    <s v=""/>
    <s v="CRT Transaction"/>
    <b v="1"/>
    <s v="Rev"/>
    <n v="0"/>
    <n v="0"/>
    <n v="19033.849999999999"/>
    <n v="-19033.849999999999"/>
    <s v="01"/>
    <s v="000"/>
    <s v="1210"/>
    <s v="202300"/>
    <s v="0000"/>
  </r>
  <r>
    <x v="0"/>
    <s v="2023 PERSONAL PROPERTY RECEIVABLES"/>
    <n v="0"/>
    <n v="3"/>
    <x v="0"/>
    <s v="Receivable5704"/>
    <m/>
    <s v=""/>
    <n v="5704"/>
    <x v="156"/>
    <s v="22.12"/>
    <x v="82"/>
    <s v="jmcgovern"/>
    <d v="2023-03-23T13:46:08"/>
    <s v=""/>
    <s v=""/>
    <s v="CRT Transaction"/>
    <b v="1"/>
    <s v="Rev"/>
    <n v="0"/>
    <n v="0"/>
    <n v="90196.64"/>
    <n v="-90196.64"/>
    <s v="01"/>
    <s v="000"/>
    <s v="1210"/>
    <s v="202300"/>
    <s v="0000"/>
  </r>
  <r>
    <x v="0"/>
    <s v="2023 PERSONAL PROPERTY RECEIVABLES"/>
    <n v="0"/>
    <n v="3"/>
    <x v="0"/>
    <s v="Receivable6265"/>
    <m/>
    <s v=""/>
    <n v="6265"/>
    <x v="157"/>
    <s v="23.05"/>
    <x v="83"/>
    <s v="jmcgovern"/>
    <d v="2023-09-05T12:16:45"/>
    <s v=""/>
    <s v=""/>
    <s v="CRT Transaction"/>
    <b v="1"/>
    <s v="Rev"/>
    <n v="0"/>
    <n v="0"/>
    <n v="124757.09"/>
    <n v="-124757.09"/>
    <s v="01"/>
    <s v="000"/>
    <s v="1210"/>
    <s v="202300"/>
    <s v="0000"/>
  </r>
  <r>
    <x v="0"/>
    <s v="2023 PERSONAL PROPERTY RECEIVABLES"/>
    <n v="0"/>
    <n v="3"/>
    <x v="0"/>
    <s v="Receivable6277"/>
    <m/>
    <s v=""/>
    <n v="6277"/>
    <x v="158"/>
    <s v="23.05"/>
    <x v="84"/>
    <s v="jmcgovern"/>
    <d v="2023-09-05T12:18:51"/>
    <s v=""/>
    <s v=""/>
    <s v="CRT Transaction"/>
    <b v="1"/>
    <s v="Rev"/>
    <n v="0"/>
    <n v="0"/>
    <n v="110054.75"/>
    <n v="-110054.75"/>
    <s v="01"/>
    <s v="000"/>
    <s v="1210"/>
    <s v="202300"/>
    <s v="0000"/>
  </r>
  <r>
    <x v="0"/>
    <s v="2023 PERSONAL PROPERTY RECEIVABLES"/>
    <n v="0"/>
    <n v="3"/>
    <x v="0"/>
    <s v="Receivable6277"/>
    <m/>
    <s v=""/>
    <n v="6277"/>
    <x v="158"/>
    <s v="23.05"/>
    <x v="84"/>
    <s v="jmcgovern"/>
    <d v="2023-09-05T12:18:51"/>
    <s v=""/>
    <s v=""/>
    <s v="CRT Transaction"/>
    <b v="1"/>
    <s v="Rev"/>
    <n v="0"/>
    <n v="0"/>
    <n v="837621.1"/>
    <n v="-837621.1"/>
    <s v="01"/>
    <s v="000"/>
    <s v="1210"/>
    <s v="202300"/>
    <s v="0000"/>
  </r>
  <r>
    <x v="0"/>
    <s v="2023 PERSONAL PROPERTY RECEIVABLES"/>
    <n v="0"/>
    <n v="3"/>
    <x v="0"/>
    <s v="Receivable6279"/>
    <m/>
    <s v=""/>
    <n v="6279"/>
    <x v="159"/>
    <s v="23.05"/>
    <x v="85"/>
    <s v="jmcgovern"/>
    <d v="2023-09-05T12:21:50"/>
    <s v=""/>
    <s v=""/>
    <s v="CRT Transaction"/>
    <b v="1"/>
    <s v="Rev"/>
    <n v="0"/>
    <n v="0"/>
    <n v="56.99"/>
    <n v="-56.99"/>
    <s v="01"/>
    <s v="000"/>
    <s v="1210"/>
    <s v="202300"/>
    <s v="0000"/>
  </r>
  <r>
    <x v="0"/>
    <s v="2023 PERSONAL PROPERTY RECEIVABLES"/>
    <n v="0"/>
    <n v="3"/>
    <x v="0"/>
    <s v="Receivable6279"/>
    <m/>
    <s v=""/>
    <n v="6279"/>
    <x v="159"/>
    <s v="23.05"/>
    <x v="85"/>
    <s v="jmcgovern"/>
    <d v="2023-09-05T12:21:50"/>
    <s v=""/>
    <s v=""/>
    <s v="CRT Transaction"/>
    <b v="1"/>
    <s v="Rev"/>
    <n v="0"/>
    <n v="0"/>
    <n v="46066.2"/>
    <n v="-46066.2"/>
    <s v="01"/>
    <s v="000"/>
    <s v="1210"/>
    <s v="202300"/>
    <s v="0000"/>
  </r>
  <r>
    <x v="0"/>
    <s v="2023 PERSONAL PROPERTY RECEIVABLES"/>
    <n v="0"/>
    <n v="3"/>
    <x v="0"/>
    <s v="Receivable6647"/>
    <m/>
    <s v=""/>
    <n v="6647"/>
    <x v="160"/>
    <s v="23.05"/>
    <x v="86"/>
    <s v="jmcgovern"/>
    <d v="2023-09-11T11:36:06"/>
    <s v=""/>
    <s v=""/>
    <s v="CRT Transaction"/>
    <b v="1"/>
    <s v="Rev"/>
    <n v="0"/>
    <n v="0"/>
    <n v="142688.88"/>
    <n v="-142688.88"/>
    <s v="01"/>
    <s v="000"/>
    <s v="1210"/>
    <s v="202300"/>
    <s v="0000"/>
  </r>
  <r>
    <x v="0"/>
    <s v="2023 PERSONAL PROPERTY RECEIVABLES"/>
    <n v="0"/>
    <n v="3"/>
    <x v="0"/>
    <s v="Receivable6305"/>
    <m/>
    <s v=""/>
    <n v="6305"/>
    <x v="161"/>
    <s v="23.05"/>
    <x v="87"/>
    <s v="jmcgovern"/>
    <d v="2023-09-05T12:22:40"/>
    <s v=""/>
    <s v=""/>
    <s v="CRT Transaction"/>
    <b v="1"/>
    <s v="Rev"/>
    <n v="0"/>
    <n v="0"/>
    <n v="4154.37"/>
    <n v="-4154.37"/>
    <s v="01"/>
    <s v="000"/>
    <s v="1210"/>
    <s v="202300"/>
    <s v="0000"/>
  </r>
  <r>
    <x v="0"/>
    <s v="2023 PERSONAL PROPERTY RECEIVABLES"/>
    <n v="0"/>
    <n v="3"/>
    <x v="0"/>
    <s v="Receivable6306"/>
    <m/>
    <s v=""/>
    <n v="6306"/>
    <x v="162"/>
    <s v="23.05"/>
    <x v="88"/>
    <s v="jmcgovern"/>
    <d v="2023-09-05T12:24:01"/>
    <s v=""/>
    <s v=""/>
    <s v="CRT Transaction"/>
    <b v="1"/>
    <s v="Rev"/>
    <n v="0"/>
    <n v="0"/>
    <n v="151594.34"/>
    <n v="-151594.34"/>
    <s v="01"/>
    <s v="000"/>
    <s v="1210"/>
    <s v="202300"/>
    <s v="0000"/>
  </r>
  <r>
    <x v="0"/>
    <s v="2023 PERSONAL PROPERTY RECEIVABLES"/>
    <n v="0"/>
    <n v="2"/>
    <x v="2"/>
    <s v="Payable6143"/>
    <n v="329"/>
    <s v="38-AP032923"/>
    <n v="6143"/>
    <x v="163"/>
    <s v="38-FY23"/>
    <x v="89"/>
    <s v="klaplant"/>
    <d v="2023-04-04T16:22:47"/>
    <s v="COMISKEY ELSA +"/>
    <s v="412"/>
    <s v="» Bill Yr: 2023 Prop Loc: -OFF MAIN ST Parcel ID: 4-35-0"/>
    <b v="1"/>
    <s v="Rev"/>
    <n v="0"/>
    <n v="240.33"/>
    <n v="0"/>
    <n v="240.33"/>
    <s v="01"/>
    <s v="000"/>
    <s v="1210"/>
    <s v="202300"/>
    <s v="0000"/>
  </r>
  <r>
    <x v="0"/>
    <s v="2023 PERSONAL PROPERTY RECEIVABLES"/>
    <n v="0"/>
    <n v="2"/>
    <x v="2"/>
    <s v="Payable6143"/>
    <n v="329"/>
    <s v="38-AP032923"/>
    <n v="6143"/>
    <x v="163"/>
    <s v="38-FY23"/>
    <x v="89"/>
    <s v="klaplant"/>
    <d v="2023-04-04T16:22:47"/>
    <s v="GOBBI FRANK N"/>
    <s v="815"/>
    <s v="» Bill Yr: 2023 Prop Loc: -OFF JUNCTION ST Parcel ID: 20-5-0"/>
    <b v="1"/>
    <s v="Rev"/>
    <n v="0"/>
    <n v="1963.3"/>
    <n v="0"/>
    <n v="1963.3"/>
    <s v="01"/>
    <s v="000"/>
    <s v="1210"/>
    <s v="202300"/>
    <s v="0000"/>
  </r>
  <r>
    <x v="0"/>
    <s v="2023 PERSONAL PROPERTY RECEIVABLES"/>
    <n v="0"/>
    <n v="2"/>
    <x v="2"/>
    <s v="Payable6143"/>
    <n v="329"/>
    <s v="38-AP032923"/>
    <n v="6143"/>
    <x v="163"/>
    <s v="38-FY23"/>
    <x v="89"/>
    <s v="klaplant"/>
    <d v="2023-04-04T16:22:47"/>
    <s v="HAGAN STEVEN F"/>
    <s v="900"/>
    <s v="» Bill Yr: 2023 Prop Loc: -OFF CLAYBROOK RD Parcel ID: 5-89-A"/>
    <b v="1"/>
    <s v="Rev"/>
    <n v="0"/>
    <n v="773.46"/>
    <n v="0"/>
    <n v="773.46"/>
    <s v="01"/>
    <s v="000"/>
    <s v="1210"/>
    <s v="202300"/>
    <s v="0000"/>
  </r>
  <r>
    <x v="0"/>
    <s v="2023 PERSONAL PROPERTY RECEIVABLES"/>
    <n v="0"/>
    <n v="2"/>
    <x v="2"/>
    <s v="Payable6143"/>
    <n v="329"/>
    <s v="38-AP032923"/>
    <n v="6143"/>
    <x v="163"/>
    <s v="38-FY23"/>
    <x v="89"/>
    <s v="klaplant"/>
    <d v="2023-04-04T16:22:47"/>
    <s v="LADD EDWARD H"/>
    <s v="1197"/>
    <s v="» Bill Yr: 2023 Prop Loc: CLAYBROOK RD Parcel ID: 3-6-B"/>
    <b v="1"/>
    <s v="Rev"/>
    <n v="0"/>
    <n v="241.44"/>
    <n v="0"/>
    <n v="241.44"/>
    <s v="01"/>
    <s v="000"/>
    <s v="1210"/>
    <s v="202300"/>
    <s v="0000"/>
  </r>
  <r>
    <x v="0"/>
    <s v="2023 PERSONAL PROPERTY RECEIVABLES"/>
    <n v="0"/>
    <n v="2"/>
    <x v="2"/>
    <s v="Payable6143"/>
    <n v="329"/>
    <s v="38-AP032923"/>
    <n v="6143"/>
    <x v="163"/>
    <s v="38-FY23"/>
    <x v="89"/>
    <s v="klaplant"/>
    <d v="2023-04-04T16:22:47"/>
    <s v="ROTH JOAN T"/>
    <s v="1851"/>
    <s v="» Bill Yr: 2023 Prop Loc: MILLER HILL RD Parcel ID: 16-75-0"/>
    <b v="1"/>
    <s v="Rev"/>
    <n v="0"/>
    <n v="261.32"/>
    <n v="0"/>
    <n v="261.32"/>
    <s v="01"/>
    <s v="000"/>
    <s v="1210"/>
    <s v="202300"/>
    <s v="0000"/>
  </r>
  <r>
    <x v="0"/>
    <s v="2023 PERSONAL PROPERTY RECEIVABLES"/>
    <n v="0"/>
    <n v="2"/>
    <x v="2"/>
    <s v="Payable6143"/>
    <n v="329"/>
    <s v="38-AP032923"/>
    <n v="6143"/>
    <x v="163"/>
    <s v="38-FY23"/>
    <x v="89"/>
    <s v="klaplant"/>
    <d v="2023-04-04T16:22:47"/>
    <s v="REYNOLDS JEANNETTE S TRUSTEE +"/>
    <s v="2042"/>
    <s v="» Bill Yr: 2023 Prop Loc: -OFF CENTRE ST Parcel ID: 11-123-E"/>
    <b v="1"/>
    <s v="Rev"/>
    <n v="0"/>
    <n v="93.57"/>
    <n v="0"/>
    <n v="93.57"/>
    <s v="01"/>
    <s v="000"/>
    <s v="1210"/>
    <s v="202300"/>
    <s v="0000"/>
  </r>
  <r>
    <x v="0"/>
    <s v="2023 PERSONAL PROPERTY RECEIVABLES"/>
    <n v="0"/>
    <n v="2"/>
    <x v="2"/>
    <s v="Payable6143"/>
    <n v="329"/>
    <s v="38-AP032923"/>
    <n v="6143"/>
    <x v="163"/>
    <s v="38-FY23"/>
    <x v="89"/>
    <s v="klaplant"/>
    <d v="2023-04-04T16:22:47"/>
    <s v="GLIDDEN A BOYNTON III TRUSTEE"/>
    <s v="2380"/>
    <s v="» Bill Yr: 2023 Prop Loc: -OFF PINE ST Parcel ID: 17-56-A"/>
    <b v="1"/>
    <s v="Rev"/>
    <n v="0"/>
    <n v="92.07"/>
    <n v="0"/>
    <n v="92.07"/>
    <s v="01"/>
    <s v="000"/>
    <s v="1210"/>
    <s v="202300"/>
    <s v="0000"/>
  </r>
  <r>
    <x v="0"/>
    <s v="2023 PERSONAL PROPERTY RECEIVABLES"/>
    <n v="0"/>
    <n v="2"/>
    <x v="2"/>
    <s v="Payable6143"/>
    <n v="329"/>
    <s v="38-AP032923"/>
    <n v="6143"/>
    <x v="163"/>
    <s v="38-FY23"/>
    <x v="89"/>
    <s v="klaplant"/>
    <d v="2023-04-04T16:22:47"/>
    <s v="COLONIAL WATER COMPANY OR"/>
    <s v="408"/>
    <s v="» Bill Yr: 2023 Prop Loc: -OFF HARTFORD ST Parcel ID: 23-90-B"/>
    <b v="1"/>
    <s v="Rev"/>
    <n v="0"/>
    <n v="1046.22"/>
    <n v="0"/>
    <n v="1046.22"/>
    <s v="01"/>
    <s v="000"/>
    <s v="1210"/>
    <s v="202300"/>
    <s v="0000"/>
  </r>
  <r>
    <x v="0"/>
    <s v="2023 PERSONAL PROPERTY RECEIVABLES"/>
    <n v="0"/>
    <n v="2"/>
    <x v="2"/>
    <s v="Payable6143"/>
    <n v="329"/>
    <s v="38-AP032923"/>
    <n v="6143"/>
    <x v="163"/>
    <s v="38-FY23"/>
    <x v="89"/>
    <s v="klaplant"/>
    <d v="2023-04-04T16:22:47"/>
    <s v="DONNELLY HOWARD W + CAROL D OR"/>
    <s v="1576"/>
    <s v="» Bill Yr: 2023 Prop Loc: -OFF WALPOLE ST Parcel ID: 18-129-C"/>
    <b v="1"/>
    <s v="Rev"/>
    <n v="0"/>
    <n v="696.58"/>
    <n v="0"/>
    <n v="696.58"/>
    <s v="01"/>
    <s v="000"/>
    <s v="1210"/>
    <s v="202300"/>
    <s v="0000"/>
  </r>
  <r>
    <x v="0"/>
    <s v="2023 PERSONAL PROPERTY RECEIVABLES"/>
    <n v="0"/>
    <n v="2"/>
    <x v="2"/>
    <s v="Payable6361"/>
    <n v="337"/>
    <s v="46-AP052423"/>
    <n v="6361"/>
    <x v="164"/>
    <s v="46-FY23"/>
    <x v="90"/>
    <s v="NRigano"/>
    <d v="2023-05-25T14:34:13"/>
    <s v="OLD FARM ROAD WATER TRUST"/>
    <s v="43"/>
    <s v="» Bill Yr: 2023 Prop Loc: OLD FARM RD"/>
    <b v="1"/>
    <s v="Rev"/>
    <n v="0"/>
    <n v="76.319999999999993"/>
    <n v="0"/>
    <n v="76.319999999999993"/>
    <s v="01"/>
    <s v="000"/>
    <s v="1210"/>
    <s v="202300"/>
    <s v="0000"/>
  </r>
  <r>
    <x v="0"/>
    <s v="2023 PERSONAL PROPERTY RECEIVABLES"/>
    <n v="0"/>
    <n v="2"/>
    <x v="2"/>
    <s v="Payable6361"/>
    <n v="337"/>
    <s v="46-AP052423"/>
    <n v="6361"/>
    <x v="164"/>
    <s v="46-FY23"/>
    <x v="90"/>
    <s v="NRigano"/>
    <d v="2023-05-25T14:34:13"/>
    <s v="SPRINT LLC"/>
    <s v="92"/>
    <s v="» Bill Yr: 2023 Prop Loc: Dover"/>
    <b v="1"/>
    <s v="Rev"/>
    <n v="0"/>
    <n v="25.65"/>
    <n v="0"/>
    <n v="25.65"/>
    <s v="01"/>
    <s v="000"/>
    <s v="1210"/>
    <s v="202300"/>
    <s v="0000"/>
  </r>
  <r>
    <x v="0"/>
    <s v="2023 PERSONAL PROPERTY RECEIVABLES"/>
    <n v="0"/>
    <n v="2"/>
    <x v="2"/>
    <s v="Payable6361"/>
    <n v="337"/>
    <s v="46-AP052423"/>
    <n v="6361"/>
    <x v="164"/>
    <s v="46-FY23"/>
    <x v="90"/>
    <s v="NRigano"/>
    <d v="2023-05-25T14:34:13"/>
    <s v="NEW CINGULAR WIRELESS PCS LLC"/>
    <s v="72"/>
    <s v="» Bill Yr: 2023 Prop Loc: Dover"/>
    <b v="1"/>
    <s v="Rev"/>
    <n v="0"/>
    <n v="115.82"/>
    <n v="0"/>
    <n v="115.82"/>
    <s v="01"/>
    <s v="000"/>
    <s v="1210"/>
    <s v="202300"/>
    <s v="0000"/>
  </r>
  <r>
    <x v="0"/>
    <s v="2023 PERSONAL PROPERTY RECEIVABLES"/>
    <n v="0"/>
    <n v="2"/>
    <x v="2"/>
    <s v="Payable6361"/>
    <n v="337"/>
    <s v="46-AP052423"/>
    <n v="6361"/>
    <x v="164"/>
    <s v="46-FY23"/>
    <x v="90"/>
    <s v="NRigano"/>
    <d v="2023-05-25T14:34:13"/>
    <s v="SEQUOIA COMPANY"/>
    <s v="124"/>
    <s v="» Bill Yr: 2023 Prop Loc: 160 CLAYBROOK RD"/>
    <b v="1"/>
    <s v="Rev"/>
    <n v="0"/>
    <n v="64.83"/>
    <n v="0"/>
    <n v="64.83"/>
    <s v="01"/>
    <s v="000"/>
    <s v="1210"/>
    <s v="202300"/>
    <s v="0000"/>
  </r>
  <r>
    <x v="0"/>
    <s v="2023 PERSONAL PROPERTY RECEIVABLES"/>
    <n v="0"/>
    <n v="2"/>
    <x v="2"/>
    <s v="Payable6361"/>
    <n v="337"/>
    <s v="46-AP052423"/>
    <n v="6361"/>
    <x v="164"/>
    <s v="46-FY23"/>
    <x v="90"/>
    <s v="NRigano"/>
    <d v="2023-05-25T14:34:13"/>
    <s v="EVERSOURCE GAS COMPANY OF MASS"/>
    <s v="10"/>
    <s v="» Bill Yr: 2023 Prop Loc: Dover"/>
    <b v="1"/>
    <s v="Rev"/>
    <n v="0"/>
    <n v="759.99"/>
    <n v="0"/>
    <n v="759.99"/>
    <s v="01"/>
    <s v="000"/>
    <s v="1210"/>
    <s v="202300"/>
    <s v="0000"/>
  </r>
  <r>
    <x v="0"/>
    <s v="2023 PERSONAL PROPERTY RECEIVABLES"/>
    <n v="0"/>
    <n v="2"/>
    <x v="2"/>
    <s v="Payable6361"/>
    <n v="337"/>
    <s v="46-AP052423"/>
    <n v="6361"/>
    <x v="164"/>
    <s v="46-FY23"/>
    <x v="90"/>
    <s v="NRigano"/>
    <d v="2023-05-25T14:34:13"/>
    <s v="MARCHIONESS HOME + GARDEN"/>
    <s v="11"/>
    <s v="» Bill Yr: 2023 Prop Loc: 141 CLAYBROOK RD"/>
    <b v="1"/>
    <s v="Rev"/>
    <n v="0"/>
    <n v="97.17"/>
    <n v="0"/>
    <n v="97.17"/>
    <s v="01"/>
    <s v="000"/>
    <s v="1210"/>
    <s v="202300"/>
    <s v="0000"/>
  </r>
  <r>
    <x v="0"/>
    <s v="2023 PERSONAL PROPERTY RECEIVABLES"/>
    <n v="0"/>
    <n v="2"/>
    <x v="2"/>
    <s v="Payable6361"/>
    <n v="337"/>
    <s v="46-AP052423"/>
    <n v="6361"/>
    <x v="164"/>
    <s v="46-FY23"/>
    <x v="90"/>
    <s v="NRigano"/>
    <d v="2023-05-25T14:34:13"/>
    <s v="SUSANA LEDESMA"/>
    <s v="130"/>
    <s v="» Bill Yr: 2023 Prop Loc: 26 WOODRIDGE RD"/>
    <b v="1"/>
    <s v="Rev"/>
    <n v="0"/>
    <n v="35.69"/>
    <n v="0"/>
    <n v="35.69"/>
    <s v="01"/>
    <s v="000"/>
    <s v="1210"/>
    <s v="202300"/>
    <s v="0000"/>
  </r>
  <r>
    <x v="0"/>
    <s v="2023 PERSONAL PROPERTY RECEIVABLES"/>
    <n v="0"/>
    <n v="2"/>
    <x v="2"/>
    <s v="Payable6361"/>
    <n v="337"/>
    <s v="46-AP052423"/>
    <n v="6361"/>
    <x v="164"/>
    <s v="46-FY23"/>
    <x v="90"/>
    <s v="NRigano"/>
    <d v="2023-05-25T14:34:13"/>
    <s v="C A L M CORPORATION"/>
    <s v="137"/>
    <s v="» Bill Yr: 2023 Prop Loc: 9 WHITING RD"/>
    <b v="1"/>
    <s v="Rev"/>
    <n v="0"/>
    <n v="36.090000000000003"/>
    <n v="0"/>
    <n v="36.090000000000003"/>
    <s v="01"/>
    <s v="000"/>
    <s v="1210"/>
    <s v="202300"/>
    <s v="0000"/>
  </r>
  <r>
    <x v="0"/>
    <s v="2023 PERSONAL PROPERTY RECEIVABLES"/>
    <n v="0"/>
    <n v="3"/>
    <x v="0"/>
    <s v="Receivable5729"/>
    <m/>
    <s v=""/>
    <n v="5729"/>
    <x v="165"/>
    <s v="23.01"/>
    <x v="91"/>
    <s v="jmcgovern"/>
    <d v="2023-05-31T12:08:03"/>
    <s v=""/>
    <s v=""/>
    <s v="CRT Transaction"/>
    <b v="1"/>
    <s v="Rev"/>
    <n v="0"/>
    <n v="0"/>
    <n v="362.01"/>
    <n v="-362.01"/>
    <s v="01"/>
    <s v="000"/>
    <s v="1210"/>
    <s v="202300"/>
    <s v="0000"/>
  </r>
  <r>
    <x v="0"/>
    <s v="2023 PERSONAL PROPERTY RECEIVABLES"/>
    <n v="0"/>
    <n v="3"/>
    <x v="0"/>
    <s v="Receivable5729"/>
    <m/>
    <s v=""/>
    <n v="5729"/>
    <x v="165"/>
    <s v="23.01"/>
    <x v="91"/>
    <s v="jmcgovern"/>
    <d v="2023-05-31T12:08:03"/>
    <s v=""/>
    <s v=""/>
    <s v="CRT Transaction"/>
    <b v="1"/>
    <s v="Rev"/>
    <n v="0"/>
    <n v="0"/>
    <n v="45576.51"/>
    <n v="-45576.51"/>
    <s v="01"/>
    <s v="000"/>
    <s v="1210"/>
    <s v="202300"/>
    <s v="0000"/>
  </r>
  <r>
    <x v="0"/>
    <s v="2023 PERSONAL PROPERTY RECEIVABLES"/>
    <n v="0"/>
    <n v="3"/>
    <x v="0"/>
    <s v="Receivable5730"/>
    <m/>
    <s v=""/>
    <n v="5730"/>
    <x v="166"/>
    <s v="23.01"/>
    <x v="92"/>
    <s v="jmcgovern"/>
    <d v="2023-05-31T12:15:03"/>
    <s v=""/>
    <s v=""/>
    <s v="CRT Transaction"/>
    <b v="1"/>
    <s v="Rev"/>
    <n v="0"/>
    <n v="0"/>
    <n v="7481.45"/>
    <n v="-7481.45"/>
    <s v="01"/>
    <s v="000"/>
    <s v="1210"/>
    <s v="202300"/>
    <s v="0000"/>
  </r>
  <r>
    <x v="0"/>
    <s v="2023 PERSONAL PROPERTY RECEIVABLES"/>
    <n v="0"/>
    <n v="3"/>
    <x v="0"/>
    <s v="Receivable5735"/>
    <m/>
    <s v=""/>
    <n v="5735"/>
    <x v="167"/>
    <s v="23.01"/>
    <x v="93"/>
    <s v="jmcgovern"/>
    <d v="2023-05-31T12:18:07"/>
    <s v=""/>
    <s v=""/>
    <s v="CRT Transaction"/>
    <b v="1"/>
    <s v="Rev"/>
    <n v="0"/>
    <n v="0"/>
    <n v="33.19"/>
    <n v="-33.19"/>
    <s v="01"/>
    <s v="000"/>
    <s v="1210"/>
    <s v="202300"/>
    <s v="0000"/>
  </r>
  <r>
    <x v="0"/>
    <s v="2023 PERSONAL PROPERTY RECEIVABLES"/>
    <n v="0"/>
    <n v="3"/>
    <x v="0"/>
    <s v="Receivable5735"/>
    <m/>
    <s v=""/>
    <n v="5735"/>
    <x v="167"/>
    <s v="23.01"/>
    <x v="93"/>
    <s v="jmcgovern"/>
    <d v="2023-05-31T12:18:07"/>
    <s v=""/>
    <s v=""/>
    <s v="CRT Transaction"/>
    <b v="1"/>
    <s v="Rev"/>
    <n v="0"/>
    <n v="0"/>
    <n v="195582.3"/>
    <n v="-195582.3"/>
    <s v="01"/>
    <s v="000"/>
    <s v="1210"/>
    <s v="202300"/>
    <s v="0000"/>
  </r>
  <r>
    <x v="0"/>
    <s v="2023 PERSONAL PROPERTY RECEIVABLES"/>
    <n v="0"/>
    <n v="3"/>
    <x v="0"/>
    <s v="Receivable5807"/>
    <m/>
    <s v=""/>
    <n v="5807"/>
    <x v="168"/>
    <s v="23.01"/>
    <x v="94"/>
    <s v="jmcgovern"/>
    <d v="2023-06-01T12:13:07"/>
    <s v=""/>
    <s v=""/>
    <s v="CRT Transaction"/>
    <b v="1"/>
    <s v="Rev"/>
    <n v="0"/>
    <n v="0"/>
    <n v="59385.8"/>
    <n v="-59385.8"/>
    <s v="01"/>
    <s v="000"/>
    <s v="1210"/>
    <s v="202300"/>
    <s v="0000"/>
  </r>
  <r>
    <x v="0"/>
    <s v="2023 PERSONAL PROPERTY RECEIVABLES"/>
    <n v="0"/>
    <n v="3"/>
    <x v="0"/>
    <s v="Receivable5808"/>
    <m/>
    <s v=""/>
    <n v="5808"/>
    <x v="169"/>
    <s v="23.01"/>
    <x v="95"/>
    <s v="jmcgovern"/>
    <d v="2023-06-01T12:19:30"/>
    <s v=""/>
    <s v=""/>
    <s v="CRT Transaction"/>
    <b v="1"/>
    <s v="Rev"/>
    <n v="0"/>
    <n v="0"/>
    <n v="105496.02"/>
    <n v="-105496.02"/>
    <s v="01"/>
    <s v="000"/>
    <s v="1210"/>
    <s v="202300"/>
    <s v="0000"/>
  </r>
  <r>
    <x v="0"/>
    <s v="2023 PERSONAL PROPERTY RECEIVABLES"/>
    <n v="0"/>
    <n v="3"/>
    <x v="0"/>
    <s v="Receivable5808"/>
    <m/>
    <s v=""/>
    <n v="5808"/>
    <x v="169"/>
    <s v="23.01"/>
    <x v="95"/>
    <s v="jmcgovern"/>
    <d v="2023-06-01T12:19:30"/>
    <s v=""/>
    <s v=""/>
    <s v="CRT Transaction"/>
    <b v="1"/>
    <s v="Rev"/>
    <n v="0"/>
    <n v="0"/>
    <n v="266357.48"/>
    <n v="-266357.48"/>
    <s v="01"/>
    <s v="000"/>
    <s v="1210"/>
    <s v="202300"/>
    <s v="0000"/>
  </r>
  <r>
    <x v="0"/>
    <s v="2023 PERSONAL PROPERTY RECEIVABLES"/>
    <n v="0"/>
    <n v="3"/>
    <x v="0"/>
    <s v="Receivable5809"/>
    <m/>
    <s v=""/>
    <n v="5809"/>
    <x v="170"/>
    <s v="23.01"/>
    <x v="96"/>
    <s v="jmcgovern"/>
    <d v="2023-06-01T12:19:46"/>
    <s v=""/>
    <s v=""/>
    <s v="CRT Transaction"/>
    <b v="1"/>
    <s v="Rev"/>
    <n v="0"/>
    <n v="0"/>
    <n v="64323.08"/>
    <n v="-64323.08"/>
    <s v="01"/>
    <s v="000"/>
    <s v="1210"/>
    <s v="202300"/>
    <s v="0000"/>
  </r>
  <r>
    <x v="0"/>
    <s v="2023 PERSONAL PROPERTY RECEIVABLES"/>
    <n v="0"/>
    <n v="3"/>
    <x v="0"/>
    <s v="Receivable5883"/>
    <m/>
    <s v=""/>
    <n v="5883"/>
    <x v="171"/>
    <s v="23.01"/>
    <x v="95"/>
    <s v="jmcgovern"/>
    <d v="2023-06-01T12:19:59"/>
    <s v=""/>
    <s v=""/>
    <s v="CRT Transaction"/>
    <b v="1"/>
    <s v="Rev"/>
    <n v="0"/>
    <n v="0"/>
    <n v="153257.43"/>
    <n v="-153257.43"/>
    <s v="01"/>
    <s v="000"/>
    <s v="1210"/>
    <s v="202300"/>
    <s v="0000"/>
  </r>
  <r>
    <x v="0"/>
    <s v="2023 PERSONAL PROPERTY RECEIVABLES"/>
    <n v="0"/>
    <n v="3"/>
    <x v="0"/>
    <s v="Receivable5812"/>
    <m/>
    <s v=""/>
    <n v="5812"/>
    <x v="172"/>
    <s v="23.01"/>
    <x v="97"/>
    <s v="jmcgovern"/>
    <d v="2023-06-01T12:20:09"/>
    <s v=""/>
    <s v=""/>
    <s v="CRT Transaction"/>
    <b v="1"/>
    <s v="Rev"/>
    <n v="0"/>
    <n v="0"/>
    <n v="60.33"/>
    <n v="-60.33"/>
    <s v="01"/>
    <s v="000"/>
    <s v="1210"/>
    <s v="202300"/>
    <s v="0000"/>
  </r>
  <r>
    <x v="0"/>
    <s v="2023 PERSONAL PROPERTY RECEIVABLES"/>
    <n v="0"/>
    <n v="3"/>
    <x v="0"/>
    <s v="Receivable5812"/>
    <m/>
    <s v=""/>
    <n v="5812"/>
    <x v="172"/>
    <s v="23.01"/>
    <x v="97"/>
    <s v="jmcgovern"/>
    <d v="2023-06-01T12:20:09"/>
    <s v=""/>
    <s v=""/>
    <s v="CRT Transaction"/>
    <b v="1"/>
    <s v="Rev"/>
    <n v="0"/>
    <n v="0"/>
    <n v="81027.11"/>
    <n v="-81027.11"/>
    <s v="01"/>
    <s v="000"/>
    <s v="1210"/>
    <s v="202300"/>
    <s v="0000"/>
  </r>
  <r>
    <x v="0"/>
    <s v="2023 PERSONAL PROPERTY RECEIVABLES"/>
    <n v="0"/>
    <n v="3"/>
    <x v="0"/>
    <s v="Receivable5741"/>
    <m/>
    <s v=""/>
    <n v="5741"/>
    <x v="173"/>
    <s v="23.01"/>
    <x v="98"/>
    <s v="jmcgovern"/>
    <d v="2023-05-31T12:22:14"/>
    <s v=""/>
    <s v=""/>
    <s v="CRT Transaction"/>
    <b v="1"/>
    <s v="Rev"/>
    <n v="0"/>
    <n v="0"/>
    <n v="74.34"/>
    <n v="-74.34"/>
    <s v="01"/>
    <s v="000"/>
    <s v="1210"/>
    <s v="202300"/>
    <s v="0000"/>
  </r>
  <r>
    <x v="0"/>
    <s v="2023 PERSONAL PROPERTY RECEIVABLES"/>
    <n v="0"/>
    <n v="3"/>
    <x v="0"/>
    <s v="Receivable5741"/>
    <m/>
    <s v=""/>
    <n v="5741"/>
    <x v="173"/>
    <s v="23.01"/>
    <x v="98"/>
    <s v="jmcgovern"/>
    <d v="2023-05-31T12:22:14"/>
    <s v=""/>
    <s v=""/>
    <s v="CRT Transaction"/>
    <b v="1"/>
    <s v="Rev"/>
    <n v="0"/>
    <n v="0"/>
    <n v="143212.6"/>
    <n v="-143212.6"/>
    <s v="01"/>
    <s v="000"/>
    <s v="1210"/>
    <s v="202300"/>
    <s v="0000"/>
  </r>
  <r>
    <x v="0"/>
    <s v="2023 PERSONAL PROPERTY RECEIVABLES"/>
    <n v="0"/>
    <n v="3"/>
    <x v="0"/>
    <s v="Receivable5756"/>
    <m/>
    <s v=""/>
    <n v="5756"/>
    <x v="174"/>
    <s v="23.01"/>
    <x v="99"/>
    <s v="jmcgovern"/>
    <d v="2023-05-31T12:30:44"/>
    <s v=""/>
    <s v=""/>
    <s v="CRT Transaction"/>
    <b v="1"/>
    <s v="Rev"/>
    <n v="0"/>
    <n v="0"/>
    <n v="247258.32"/>
    <n v="-247258.32"/>
    <s v="01"/>
    <s v="000"/>
    <s v="1210"/>
    <s v="202300"/>
    <s v="0000"/>
  </r>
  <r>
    <x v="0"/>
    <s v="2023 PERSONAL PROPERTY RECEIVABLES"/>
    <n v="0"/>
    <n v="3"/>
    <x v="0"/>
    <s v="Receivable5757"/>
    <m/>
    <s v=""/>
    <n v="5757"/>
    <x v="175"/>
    <s v="23.01"/>
    <x v="100"/>
    <s v="jmcgovern"/>
    <d v="2023-05-31T12:35:26"/>
    <s v=""/>
    <s v=""/>
    <s v="CRT Transaction"/>
    <b v="1"/>
    <s v="Rev"/>
    <n v="0"/>
    <n v="0"/>
    <n v="10765.34"/>
    <n v="-10765.34"/>
    <s v="01"/>
    <s v="000"/>
    <s v="1210"/>
    <s v="202300"/>
    <s v="0000"/>
  </r>
  <r>
    <x v="0"/>
    <s v="2023 PERSONAL PROPERTY RECEIVABLES"/>
    <n v="0"/>
    <n v="3"/>
    <x v="0"/>
    <s v="Receivable5906"/>
    <m/>
    <s v=""/>
    <n v="5906"/>
    <x v="176"/>
    <s v="23.02"/>
    <x v="101"/>
    <s v="jmcgovern"/>
    <d v="2023-06-20T10:37:23"/>
    <s v=""/>
    <s v=""/>
    <s v="CRT Transaction"/>
    <b v="1"/>
    <s v="Rev"/>
    <n v="0"/>
    <n v="0"/>
    <n v="16939.29"/>
    <n v="-16939.29"/>
    <s v="01"/>
    <s v="000"/>
    <s v="1210"/>
    <s v="202300"/>
    <s v="0000"/>
  </r>
  <r>
    <x v="0"/>
    <s v="2023 PERSONAL PROPERTY RECEIVABLES"/>
    <n v="0"/>
    <n v="3"/>
    <x v="0"/>
    <s v="Receivable5907"/>
    <m/>
    <s v=""/>
    <n v="5907"/>
    <x v="177"/>
    <s v="23.02"/>
    <x v="102"/>
    <s v="jmcgovern"/>
    <d v="2023-06-20T10:41:18"/>
    <s v=""/>
    <s v=""/>
    <s v="CRT Transaction"/>
    <b v="1"/>
    <s v="Rev"/>
    <n v="0"/>
    <n v="0"/>
    <n v="72.92"/>
    <n v="-72.92"/>
    <s v="01"/>
    <s v="000"/>
    <s v="1210"/>
    <s v="202300"/>
    <s v="0000"/>
  </r>
  <r>
    <x v="0"/>
    <s v="2023 PERSONAL PROPERTY RECEIVABLES"/>
    <n v="0"/>
    <n v="3"/>
    <x v="0"/>
    <s v="Receivable5907"/>
    <m/>
    <s v=""/>
    <n v="5907"/>
    <x v="177"/>
    <s v="23.02"/>
    <x v="102"/>
    <s v="jmcgovern"/>
    <d v="2023-06-20T10:41:18"/>
    <s v=""/>
    <s v=""/>
    <s v="CRT Transaction"/>
    <b v="1"/>
    <s v="Rev"/>
    <n v="0"/>
    <n v="0"/>
    <n v="9248.23"/>
    <n v="-9248.23"/>
    <s v="01"/>
    <s v="000"/>
    <s v="1210"/>
    <s v="202300"/>
    <s v="0000"/>
  </r>
  <r>
    <x v="0"/>
    <s v="2023 PERSONAL PROPERTY RECEIVABLES"/>
    <n v="0"/>
    <n v="3"/>
    <x v="0"/>
    <s v="Receivable5908"/>
    <m/>
    <s v=""/>
    <n v="5908"/>
    <x v="178"/>
    <s v="23.02"/>
    <x v="103"/>
    <s v="jmcgovern"/>
    <d v="2023-06-20T10:41:25"/>
    <s v=""/>
    <s v=""/>
    <s v="CRT Transaction"/>
    <b v="1"/>
    <s v="Rev"/>
    <n v="0"/>
    <n v="0"/>
    <n v="3332.92"/>
    <n v="-3332.92"/>
    <s v="01"/>
    <s v="000"/>
    <s v="1210"/>
    <s v="202300"/>
    <s v="0000"/>
  </r>
  <r>
    <x v="0"/>
    <s v="2023 PERSONAL PROPERTY RECEIVABLES"/>
    <n v="0"/>
    <n v="3"/>
    <x v="0"/>
    <s v="Receivable5941"/>
    <m/>
    <s v=""/>
    <n v="5941"/>
    <x v="179"/>
    <s v="23.02"/>
    <x v="104"/>
    <s v="jmcgovern"/>
    <d v="2023-06-20T10:42:58"/>
    <s v=""/>
    <s v=""/>
    <s v="CRT Transaction"/>
    <b v="1"/>
    <s v="Rev"/>
    <n v="0"/>
    <n v="0"/>
    <n v="31.36"/>
    <n v="-31.36"/>
    <s v="01"/>
    <s v="000"/>
    <s v="1210"/>
    <s v="202300"/>
    <s v="0000"/>
  </r>
  <r>
    <x v="0"/>
    <s v="2023 PERSONAL PROPERTY RECEIVABLES"/>
    <n v="0"/>
    <n v="3"/>
    <x v="0"/>
    <s v="Receivable5941"/>
    <m/>
    <s v=""/>
    <n v="5941"/>
    <x v="179"/>
    <s v="23.02"/>
    <x v="104"/>
    <s v="jmcgovern"/>
    <d v="2023-06-20T10:42:58"/>
    <s v=""/>
    <s v=""/>
    <s v="CRT Transaction"/>
    <b v="1"/>
    <s v="Rev"/>
    <n v="0"/>
    <n v="0"/>
    <n v="200798.21"/>
    <n v="-200798.21"/>
    <s v="01"/>
    <s v="000"/>
    <s v="1210"/>
    <s v="202300"/>
    <s v="0000"/>
  </r>
  <r>
    <x v="0"/>
    <s v="2023 PERSONAL PROPERTY RECEIVABLES"/>
    <n v="0"/>
    <n v="3"/>
    <x v="0"/>
    <s v="Receivable5943"/>
    <m/>
    <s v=""/>
    <n v="5943"/>
    <x v="180"/>
    <s v="23.02"/>
    <x v="104"/>
    <s v="jmcgovern"/>
    <d v="2023-06-20T10:43:05"/>
    <s v=""/>
    <s v=""/>
    <s v="CRT Transaction"/>
    <b v="1"/>
    <s v="Rev"/>
    <n v="0"/>
    <n v="0"/>
    <n v="6182.72"/>
    <n v="-6182.72"/>
    <s v="01"/>
    <s v="000"/>
    <s v="1210"/>
    <s v="202300"/>
    <s v="0000"/>
  </r>
  <r>
    <x v="0"/>
    <s v="2023 PERSONAL PROPERTY RECEIVABLES"/>
    <n v="0"/>
    <n v="3"/>
    <x v="0"/>
    <s v="Receivable5942"/>
    <m/>
    <s v=""/>
    <n v="5942"/>
    <x v="181"/>
    <s v="23.02"/>
    <x v="105"/>
    <s v="jmcgovern"/>
    <d v="2023-06-20T10:43:45"/>
    <s v=""/>
    <s v=""/>
    <s v="CRT Transaction"/>
    <b v="1"/>
    <s v="Rev"/>
    <n v="0"/>
    <n v="0"/>
    <n v="66.709999999999994"/>
    <n v="-66.709999999999994"/>
    <s v="01"/>
    <s v="000"/>
    <s v="1210"/>
    <s v="202300"/>
    <s v="0000"/>
  </r>
  <r>
    <x v="0"/>
    <s v="2023 PERSONAL PROPERTY RECEIVABLES"/>
    <n v="0"/>
    <n v="3"/>
    <x v="0"/>
    <s v="Receivable5942"/>
    <m/>
    <s v=""/>
    <n v="5942"/>
    <x v="181"/>
    <s v="23.02"/>
    <x v="105"/>
    <s v="jmcgovern"/>
    <d v="2023-06-20T10:43:45"/>
    <s v=""/>
    <s v=""/>
    <s v="CRT Transaction"/>
    <b v="1"/>
    <s v="Rev"/>
    <n v="0"/>
    <n v="0"/>
    <n v="3087.85"/>
    <n v="-3087.85"/>
    <s v="01"/>
    <s v="000"/>
    <s v="1210"/>
    <s v="202300"/>
    <s v="0000"/>
  </r>
  <r>
    <x v="0"/>
    <s v="2023 PERSONAL PROPERTY RECEIVABLES"/>
    <n v="0"/>
    <n v="3"/>
    <x v="0"/>
    <s v="Receivable5760"/>
    <m/>
    <s v=""/>
    <n v="5760"/>
    <x v="182"/>
    <s v="23.01"/>
    <x v="106"/>
    <s v="jmcgovern"/>
    <d v="2023-05-31T14:16:11"/>
    <s v=""/>
    <s v=""/>
    <s v="CRT Transaction"/>
    <b v="1"/>
    <s v="Rev"/>
    <n v="0"/>
    <n v="0"/>
    <n v="4990.82"/>
    <n v="-4990.82"/>
    <s v="01"/>
    <s v="000"/>
    <s v="1210"/>
    <s v="202300"/>
    <s v="0000"/>
  </r>
  <r>
    <x v="0"/>
    <s v="2023 PERSONAL PROPERTY RECEIVABLES"/>
    <n v="0"/>
    <n v="3"/>
    <x v="0"/>
    <s v="Receivable5762"/>
    <m/>
    <s v=""/>
    <n v="5762"/>
    <x v="183"/>
    <s v="23.01"/>
    <x v="106"/>
    <s v="jmcgovern"/>
    <d v="2023-05-31T14:23:53"/>
    <s v=""/>
    <s v=""/>
    <s v="CRT Transaction"/>
    <b v="1"/>
    <s v="Rev"/>
    <n v="0"/>
    <n v="0"/>
    <n v="88222.96"/>
    <n v="-88222.96"/>
    <s v="01"/>
    <s v="000"/>
    <s v="1210"/>
    <s v="202300"/>
    <s v="0000"/>
  </r>
  <r>
    <x v="0"/>
    <s v="2023 PERSONAL PROPERTY RECEIVABLES"/>
    <n v="0"/>
    <n v="3"/>
    <x v="0"/>
    <s v="Receivable5764"/>
    <m/>
    <s v=""/>
    <n v="5764"/>
    <x v="184"/>
    <s v="23.01"/>
    <x v="107"/>
    <s v="jmcgovern"/>
    <d v="2023-05-31T14:29:56"/>
    <s v=""/>
    <s v=""/>
    <s v="CRT Transaction"/>
    <b v="1"/>
    <s v="Rev"/>
    <n v="0"/>
    <n v="0"/>
    <n v="43054.98"/>
    <n v="-43054.98"/>
    <s v="01"/>
    <s v="000"/>
    <s v="1210"/>
    <s v="202300"/>
    <s v="0000"/>
  </r>
  <r>
    <x v="0"/>
    <s v="2023 PERSONAL PROPERTY RECEIVABLES"/>
    <n v="0"/>
    <n v="3"/>
    <x v="0"/>
    <s v="Receivable5766"/>
    <m/>
    <s v=""/>
    <n v="5766"/>
    <x v="185"/>
    <s v="23.01"/>
    <x v="108"/>
    <s v="jmcgovern"/>
    <d v="2023-05-31T14:36:11"/>
    <s v=""/>
    <s v=""/>
    <s v="CRT Transaction"/>
    <b v="1"/>
    <s v="Rev"/>
    <n v="0"/>
    <n v="0"/>
    <n v="34.200000000000003"/>
    <n v="-34.200000000000003"/>
    <s v="01"/>
    <s v="000"/>
    <s v="1210"/>
    <s v="202300"/>
    <s v="0000"/>
  </r>
  <r>
    <x v="0"/>
    <s v="2023 PERSONAL PROPERTY RECEIVABLES"/>
    <n v="0"/>
    <n v="3"/>
    <x v="0"/>
    <s v="Receivable5766"/>
    <m/>
    <s v=""/>
    <n v="5766"/>
    <x v="185"/>
    <s v="23.01"/>
    <x v="108"/>
    <s v="jmcgovern"/>
    <d v="2023-05-31T14:36:11"/>
    <s v=""/>
    <s v=""/>
    <s v="CRT Transaction"/>
    <b v="1"/>
    <s v="Rev"/>
    <n v="0"/>
    <n v="0"/>
    <n v="88396.88"/>
    <n v="-88396.88"/>
    <s v="01"/>
    <s v="000"/>
    <s v="1210"/>
    <s v="202300"/>
    <s v="0000"/>
  </r>
  <r>
    <x v="0"/>
    <s v="2023 PERSONAL PROPERTY RECEIVABLES"/>
    <n v="0"/>
    <n v="3"/>
    <x v="0"/>
    <s v="Receivable5846"/>
    <m/>
    <s v=""/>
    <n v="5846"/>
    <x v="186"/>
    <s v="23.01"/>
    <x v="109"/>
    <s v="jmcgovern"/>
    <d v="2023-05-31T14:47:44"/>
    <s v=""/>
    <s v=""/>
    <s v="CRT Transaction"/>
    <b v="1"/>
    <s v="Rev"/>
    <n v="0"/>
    <n v="0"/>
    <n v="185.75"/>
    <n v="-185.75"/>
    <s v="01"/>
    <s v="000"/>
    <s v="1210"/>
    <s v="202300"/>
    <s v="0000"/>
  </r>
  <r>
    <x v="0"/>
    <s v="2023 PERSONAL PROPERTY RECEIVABLES"/>
    <n v="0"/>
    <n v="3"/>
    <x v="0"/>
    <s v="Receivable5785"/>
    <m/>
    <s v=""/>
    <n v="5785"/>
    <x v="187"/>
    <s v="23.01"/>
    <x v="110"/>
    <s v="jmcgovern"/>
    <d v="2023-06-01T11:48:47"/>
    <s v=""/>
    <s v=""/>
    <s v="CRT Transaction"/>
    <b v="1"/>
    <s v="Rev"/>
    <n v="0"/>
    <n v="0"/>
    <n v="109.53"/>
    <n v="-109.53"/>
    <s v="01"/>
    <s v="000"/>
    <s v="1210"/>
    <s v="202300"/>
    <s v="0000"/>
  </r>
  <r>
    <x v="0"/>
    <s v="2023 PERSONAL PROPERTY RECEIVABLES"/>
    <n v="0"/>
    <n v="3"/>
    <x v="0"/>
    <s v="Receivable5785"/>
    <m/>
    <s v=""/>
    <n v="5785"/>
    <x v="187"/>
    <s v="23.01"/>
    <x v="110"/>
    <s v="jmcgovern"/>
    <d v="2023-06-01T11:48:47"/>
    <s v=""/>
    <s v=""/>
    <s v="CRT Transaction"/>
    <b v="1"/>
    <s v="Rev"/>
    <n v="0"/>
    <n v="0"/>
    <n v="413356.83"/>
    <n v="-413356.83"/>
    <s v="01"/>
    <s v="000"/>
    <s v="1210"/>
    <s v="202300"/>
    <s v="0000"/>
  </r>
  <r>
    <x v="0"/>
    <s v="2023 PERSONAL PROPERTY RECEIVABLES"/>
    <n v="0"/>
    <n v="3"/>
    <x v="0"/>
    <s v="Receivable5806"/>
    <m/>
    <s v=""/>
    <n v="5806"/>
    <x v="188"/>
    <s v="23.01"/>
    <x v="111"/>
    <s v="jmcgovern"/>
    <d v="2023-06-01T12:06:52"/>
    <s v=""/>
    <s v=""/>
    <s v="CRT Transaction"/>
    <b v="1"/>
    <s v="Rev"/>
    <n v="0"/>
    <n v="0"/>
    <n v="103876.62"/>
    <n v="-103876.62"/>
    <s v="01"/>
    <s v="000"/>
    <s v="1210"/>
    <s v="202300"/>
    <s v="0000"/>
  </r>
  <r>
    <x v="0"/>
    <s v="2023 PERSONAL PROPERTY RECEIVABLES"/>
    <n v="0"/>
    <n v="3"/>
    <x v="0"/>
    <s v="Receivable5807"/>
    <m/>
    <s v=""/>
    <n v="5807"/>
    <x v="168"/>
    <s v="23.01"/>
    <x v="94"/>
    <s v="jmcgovern"/>
    <d v="2023-06-01T12:13:07"/>
    <s v=""/>
    <s v=""/>
    <s v="CRT Transaction"/>
    <b v="1"/>
    <s v="Rev"/>
    <n v="0"/>
    <n v="0"/>
    <n v="65.22"/>
    <n v="-65.22"/>
    <s v="01"/>
    <s v="000"/>
    <s v="1210"/>
    <s v="202300"/>
    <s v="0000"/>
  </r>
  <r>
    <x v="0"/>
    <s v="2023 PERSONAL PROPERTY RECEIVABLES"/>
    <n v="0"/>
    <n v="3"/>
    <x v="0"/>
    <s v="Receivable5846"/>
    <m/>
    <s v=""/>
    <n v="5846"/>
    <x v="186"/>
    <s v="23.01"/>
    <x v="109"/>
    <s v="jmcgovern"/>
    <d v="2023-05-31T14:47:44"/>
    <s v=""/>
    <s v=""/>
    <s v="CRT Transaction"/>
    <b v="1"/>
    <s v="Rev"/>
    <n v="0"/>
    <n v="0"/>
    <n v="271789.2"/>
    <n v="-271789.2"/>
    <s v="01"/>
    <s v="000"/>
    <s v="1210"/>
    <s v="202300"/>
    <s v="0000"/>
  </r>
  <r>
    <x v="0"/>
    <s v="2023 PERSONAL PROPERTY RECEIVABLES"/>
    <n v="0"/>
    <n v="3"/>
    <x v="0"/>
    <s v="Receivable5781"/>
    <m/>
    <s v=""/>
    <n v="5781"/>
    <x v="189"/>
    <s v="23.01"/>
    <x v="109"/>
    <s v="jmcgovern"/>
    <d v="2023-05-31T14:53:56"/>
    <s v=""/>
    <s v=""/>
    <s v="CRT Transaction"/>
    <b v="1"/>
    <s v="Rev"/>
    <n v="0"/>
    <n v="0"/>
    <n v="505.15"/>
    <n v="-505.15"/>
    <s v="01"/>
    <s v="000"/>
    <s v="1210"/>
    <s v="202300"/>
    <s v="0000"/>
  </r>
  <r>
    <x v="0"/>
    <s v="2023 PERSONAL PROPERTY RECEIVABLES"/>
    <n v="0"/>
    <n v="3"/>
    <x v="0"/>
    <s v="Receivable5781"/>
    <m/>
    <s v=""/>
    <n v="5781"/>
    <x v="189"/>
    <s v="23.01"/>
    <x v="109"/>
    <s v="jmcgovern"/>
    <d v="2023-05-31T14:53:56"/>
    <s v=""/>
    <s v=""/>
    <s v="CRT Transaction"/>
    <b v="1"/>
    <s v="Rev"/>
    <n v="0"/>
    <n v="0"/>
    <n v="184683.37"/>
    <n v="-184683.37"/>
    <s v="01"/>
    <s v="000"/>
    <s v="1210"/>
    <s v="202300"/>
    <s v="0000"/>
  </r>
  <r>
    <x v="0"/>
    <s v="2023 PERSONAL PROPERTY RECEIVABLES"/>
    <n v="0"/>
    <n v="3"/>
    <x v="0"/>
    <s v="Receivable6105"/>
    <m/>
    <s v=""/>
    <n v="6105"/>
    <x v="190"/>
    <s v="23.01"/>
    <x v="107"/>
    <s v="jmcgovern"/>
    <d v="2023-05-31T15:09:26"/>
    <s v=""/>
    <s v=""/>
    <s v="CRT Transaction"/>
    <b v="1"/>
    <s v="Rev"/>
    <n v="0"/>
    <n v="10006.18"/>
    <n v="0"/>
    <n v="10006.18"/>
    <s v="01"/>
    <s v="000"/>
    <s v="1210"/>
    <s v="202300"/>
    <s v="0000"/>
  </r>
  <r>
    <x v="0"/>
    <s v="2023 PERSONAL PROPERTY RECEIVABLES"/>
    <n v="0"/>
    <n v="3"/>
    <x v="0"/>
    <s v="Receivable5796"/>
    <m/>
    <s v=""/>
    <n v="5796"/>
    <x v="191"/>
    <s v="23.01"/>
    <x v="110"/>
    <s v="jmcgovern"/>
    <d v="2023-05-31T15:13:12"/>
    <s v=""/>
    <s v=""/>
    <s v="CRT Transaction"/>
    <b v="1"/>
    <s v="Rev"/>
    <n v="0"/>
    <n v="0"/>
    <n v="18343.009999999998"/>
    <n v="-18343.009999999998"/>
    <s v="01"/>
    <s v="000"/>
    <s v="1210"/>
    <s v="202300"/>
    <s v="0000"/>
  </r>
  <r>
    <x v="0"/>
    <s v="2023 PERSONAL PROPERTY RECEIVABLES"/>
    <n v="0"/>
    <n v="3"/>
    <x v="0"/>
    <s v="Receivable5813"/>
    <m/>
    <s v=""/>
    <n v="5813"/>
    <x v="192"/>
    <s v="23.01"/>
    <x v="112"/>
    <s v="jmcgovern"/>
    <d v="2023-06-06T11:17:40"/>
    <s v=""/>
    <s v=""/>
    <s v="CRT Transaction"/>
    <b v="1"/>
    <s v="Rev"/>
    <n v="0"/>
    <n v="0"/>
    <n v="3381.47"/>
    <n v="-3381.47"/>
    <s v="01"/>
    <s v="000"/>
    <s v="1210"/>
    <s v="202300"/>
    <s v="0000"/>
  </r>
  <r>
    <x v="0"/>
    <s v="2023 PERSONAL PROPERTY RECEIVABLES"/>
    <n v="0"/>
    <n v="3"/>
    <x v="0"/>
    <s v="Receivable5813"/>
    <m/>
    <s v=""/>
    <n v="5813"/>
    <x v="192"/>
    <s v="23.01"/>
    <x v="112"/>
    <s v="jmcgovern"/>
    <d v="2023-06-06T11:17:40"/>
    <s v=""/>
    <s v=""/>
    <s v="CRT Transaction"/>
    <b v="1"/>
    <s v="Rev"/>
    <n v="0"/>
    <n v="0"/>
    <n v="316502.12"/>
    <n v="-316502.12"/>
    <s v="01"/>
    <s v="000"/>
    <s v="1210"/>
    <s v="202300"/>
    <s v="0000"/>
  </r>
  <r>
    <x v="0"/>
    <s v="2023 PERSONAL PROPERTY RECEIVABLES"/>
    <n v="0"/>
    <n v="3"/>
    <x v="0"/>
    <s v="Receivable5952"/>
    <m/>
    <s v=""/>
    <n v="5952"/>
    <x v="193"/>
    <s v="23.01"/>
    <x v="113"/>
    <s v="jmcgovern"/>
    <d v="2023-06-06T11:21:48"/>
    <s v=""/>
    <s v=""/>
    <s v="CRT Transaction"/>
    <b v="1"/>
    <s v="Rev"/>
    <n v="0"/>
    <n v="0"/>
    <n v="785215.01"/>
    <n v="-785215.01"/>
    <s v="01"/>
    <s v="000"/>
    <s v="1210"/>
    <s v="202300"/>
    <s v="0000"/>
  </r>
  <r>
    <x v="0"/>
    <s v="2023 PERSONAL PROPERTY RECEIVABLES"/>
    <n v="0"/>
    <n v="3"/>
    <x v="0"/>
    <s v="Receivable5815"/>
    <m/>
    <s v=""/>
    <n v="5815"/>
    <x v="194"/>
    <s v="23.01"/>
    <x v="114"/>
    <s v="jmcgovern"/>
    <d v="2023-06-06T11:29:42"/>
    <s v=""/>
    <s v=""/>
    <s v="CRT Transaction"/>
    <b v="1"/>
    <s v="Rev"/>
    <n v="0"/>
    <n v="0"/>
    <n v="147.19"/>
    <n v="-147.19"/>
    <s v="01"/>
    <s v="000"/>
    <s v="1210"/>
    <s v="202300"/>
    <s v="0000"/>
  </r>
  <r>
    <x v="0"/>
    <s v="2023 PERSONAL PROPERTY RECEIVABLES"/>
    <n v="0"/>
    <n v="3"/>
    <x v="0"/>
    <s v="Receivable5815"/>
    <m/>
    <s v=""/>
    <n v="5815"/>
    <x v="194"/>
    <s v="23.01"/>
    <x v="114"/>
    <s v="jmcgovern"/>
    <d v="2023-06-06T11:29:42"/>
    <s v=""/>
    <s v=""/>
    <s v="CRT Transaction"/>
    <b v="1"/>
    <s v="Rev"/>
    <n v="0"/>
    <n v="0"/>
    <n v="130246.49"/>
    <n v="-130246.49"/>
    <s v="01"/>
    <s v="000"/>
    <s v="1210"/>
    <s v="202300"/>
    <s v="0000"/>
  </r>
  <r>
    <x v="0"/>
    <s v="2023 PERSONAL PROPERTY RECEIVABLES"/>
    <n v="0"/>
    <n v="3"/>
    <x v="0"/>
    <s v="Receivable5847"/>
    <m/>
    <s v=""/>
    <n v="5847"/>
    <x v="195"/>
    <s v="23.01"/>
    <x v="115"/>
    <s v="jmcgovern"/>
    <d v="2023-06-06T11:50:48"/>
    <s v=""/>
    <s v=""/>
    <s v="CRT Transaction"/>
    <b v="1"/>
    <s v="Rev"/>
    <n v="0"/>
    <n v="0"/>
    <n v="477.47"/>
    <n v="-477.47"/>
    <s v="01"/>
    <s v="000"/>
    <s v="1210"/>
    <s v="202300"/>
    <s v="0000"/>
  </r>
  <r>
    <x v="0"/>
    <s v="2023 PERSONAL PROPERTY RECEIVABLES"/>
    <n v="0"/>
    <n v="3"/>
    <x v="0"/>
    <s v="Receivable5847"/>
    <m/>
    <s v=""/>
    <n v="5847"/>
    <x v="195"/>
    <s v="23.01"/>
    <x v="115"/>
    <s v="jmcgovern"/>
    <d v="2023-06-06T11:50:48"/>
    <s v=""/>
    <s v=""/>
    <s v="CRT Transaction"/>
    <b v="1"/>
    <s v="Rev"/>
    <n v="0"/>
    <n v="0"/>
    <n v="443083.59"/>
    <n v="-443083.59"/>
    <s v="01"/>
    <s v="000"/>
    <s v="1210"/>
    <s v="202300"/>
    <s v="0000"/>
  </r>
  <r>
    <x v="0"/>
    <s v="2023 PERSONAL PROPERTY RECEIVABLES"/>
    <n v="0"/>
    <n v="3"/>
    <x v="0"/>
    <s v="Receivable5848"/>
    <m/>
    <s v=""/>
    <n v="5848"/>
    <x v="196"/>
    <s v="23.01"/>
    <x v="101"/>
    <s v="jmcgovern"/>
    <d v="2023-06-07T13:52:54"/>
    <s v=""/>
    <s v=""/>
    <s v="CRT Transaction"/>
    <b v="1"/>
    <s v="Rev"/>
    <n v="0"/>
    <n v="0"/>
    <n v="118768.47"/>
    <n v="-118768.47"/>
    <s v="01"/>
    <s v="000"/>
    <s v="1210"/>
    <s v="202300"/>
    <s v="0000"/>
  </r>
  <r>
    <x v="0"/>
    <s v="2023 PERSONAL PROPERTY RECEIVABLES"/>
    <n v="0"/>
    <n v="3"/>
    <x v="0"/>
    <s v="Receivable5848"/>
    <m/>
    <s v=""/>
    <n v="5848"/>
    <x v="196"/>
    <s v="23.01"/>
    <x v="101"/>
    <s v="jmcgovern"/>
    <d v="2023-06-07T13:52:54"/>
    <s v=""/>
    <s v=""/>
    <s v="CRT Transaction"/>
    <b v="1"/>
    <s v="Rev"/>
    <n v="0"/>
    <n v="0"/>
    <n v="98455.78"/>
    <n v="-98455.78"/>
    <s v="01"/>
    <s v="000"/>
    <s v="1210"/>
    <s v="202300"/>
    <s v="0000"/>
  </r>
  <r>
    <x v="0"/>
    <s v="2023 PERSONAL PROPERTY RECEIVABLES"/>
    <n v="0"/>
    <n v="3"/>
    <x v="0"/>
    <s v="Receivable6302"/>
    <m/>
    <s v=""/>
    <n v="6302"/>
    <x v="197"/>
    <s v="23.02"/>
    <x v="116"/>
    <s v="jmcgovern"/>
    <d v="2023-06-13T14:01:45"/>
    <s v=""/>
    <s v=""/>
    <s v="CRT Transaction"/>
    <b v="1"/>
    <s v="Rev"/>
    <n v="0"/>
    <n v="0"/>
    <n v="9097.4"/>
    <n v="-9097.4"/>
    <s v="01"/>
    <s v="000"/>
    <s v="1210"/>
    <s v="202300"/>
    <s v="0000"/>
  </r>
  <r>
    <x v="0"/>
    <s v="2023 PERSONAL PROPERTY RECEIVABLES"/>
    <n v="0"/>
    <n v="3"/>
    <x v="0"/>
    <s v="Receivable6303"/>
    <m/>
    <s v=""/>
    <n v="6303"/>
    <x v="198"/>
    <s v="23.02"/>
    <x v="117"/>
    <s v="jmcgovern"/>
    <d v="2023-06-13T14:14:48"/>
    <s v=""/>
    <s v=""/>
    <s v="CRT Transaction"/>
    <b v="1"/>
    <s v="Rev"/>
    <n v="0"/>
    <n v="2792.22"/>
    <n v="0"/>
    <n v="2792.22"/>
    <s v="01"/>
    <s v="000"/>
    <s v="1210"/>
    <s v="202300"/>
    <s v="0000"/>
  </r>
  <r>
    <x v="0"/>
    <s v="2023 PERSONAL PROPERTY RECEIVABLES"/>
    <n v="0"/>
    <n v="3"/>
    <x v="0"/>
    <s v="Receivable6307"/>
    <m/>
    <s v=""/>
    <n v="6307"/>
    <x v="199"/>
    <s v="23.03"/>
    <x v="118"/>
    <s v="jmcgovern"/>
    <d v="2023-06-14T12:20:54"/>
    <s v=""/>
    <s v=""/>
    <s v="CRT Transaction"/>
    <b v="1"/>
    <s v="Rev"/>
    <n v="0"/>
    <n v="0"/>
    <n v="2999.54"/>
    <n v="-2999.54"/>
    <s v="01"/>
    <s v="000"/>
    <s v="1210"/>
    <s v="202300"/>
    <s v="0000"/>
  </r>
  <r>
    <x v="0"/>
    <s v="2023 PERSONAL PROPERTY RECEIVABLES"/>
    <n v="0"/>
    <n v="3"/>
    <x v="0"/>
    <s v="Receivable6087"/>
    <m/>
    <s v=""/>
    <n v="6087"/>
    <x v="200"/>
    <s v="23.03"/>
    <x v="119"/>
    <s v="jmcgovern"/>
    <d v="2023-06-15T10:20:05"/>
    <s v=""/>
    <s v=""/>
    <s v="CRT Transaction"/>
    <b v="1"/>
    <s v="Rev"/>
    <n v="0"/>
    <n v="0"/>
    <n v="84785.31"/>
    <n v="-84785.31"/>
    <s v="01"/>
    <s v="000"/>
    <s v="1210"/>
    <s v="202300"/>
    <s v="0000"/>
  </r>
  <r>
    <x v="0"/>
    <s v="2023 PERSONAL PROPERTY RECEIVABLES"/>
    <n v="0"/>
    <n v="3"/>
    <x v="0"/>
    <s v="Receivable5891"/>
    <m/>
    <s v=""/>
    <n v="5891"/>
    <x v="201"/>
    <s v="23.02"/>
    <x v="101"/>
    <s v="jmcgovern"/>
    <d v="2023-06-07T13:57:12"/>
    <s v=""/>
    <s v=""/>
    <s v="CRT Transaction"/>
    <b v="1"/>
    <s v="Rev"/>
    <n v="0"/>
    <n v="0"/>
    <n v="119664.18"/>
    <n v="-119664.18"/>
    <s v="01"/>
    <s v="000"/>
    <s v="1210"/>
    <s v="202300"/>
    <s v="0000"/>
  </r>
  <r>
    <x v="0"/>
    <s v="2023 PERSONAL PROPERTY RECEIVABLES"/>
    <n v="0"/>
    <n v="3"/>
    <x v="0"/>
    <s v="Receivable5893"/>
    <m/>
    <s v=""/>
    <n v="5893"/>
    <x v="202"/>
    <s v="23.02"/>
    <x v="101"/>
    <s v="jmcgovern"/>
    <d v="2023-06-07T14:02:26"/>
    <s v=""/>
    <s v=""/>
    <s v="CRT Transaction"/>
    <b v="1"/>
    <s v="Rev"/>
    <n v="0"/>
    <n v="0"/>
    <n v="2634169.7000000002"/>
    <n v="-2634169.7000000002"/>
    <s v="01"/>
    <s v="000"/>
    <s v="1210"/>
    <s v="202300"/>
    <s v="0000"/>
  </r>
  <r>
    <x v="0"/>
    <s v="2023 PERSONAL PROPERTY RECEIVABLES"/>
    <n v="0"/>
    <n v="3"/>
    <x v="0"/>
    <s v="Receivable6077"/>
    <m/>
    <s v=""/>
    <n v="6077"/>
    <x v="203"/>
    <s v="23.03"/>
    <x v="120"/>
    <s v="jmcgovern"/>
    <d v="2023-06-14T13:41:29"/>
    <s v=""/>
    <s v=""/>
    <s v="CRT Transaction"/>
    <b v="1"/>
    <s v="Rev"/>
    <n v="0"/>
    <n v="0"/>
    <n v="6287.65"/>
    <n v="-6287.65"/>
    <s v="01"/>
    <s v="000"/>
    <s v="1210"/>
    <s v="202300"/>
    <s v="0000"/>
  </r>
  <r>
    <x v="0"/>
    <s v="2023 PERSONAL PROPERTY RECEIVABLES"/>
    <n v="0"/>
    <n v="3"/>
    <x v="0"/>
    <s v="Receivable6314"/>
    <m/>
    <s v=""/>
    <n v="6314"/>
    <x v="204"/>
    <s v="23.03"/>
    <x v="121"/>
    <s v="jmcgovern"/>
    <d v="2023-06-15T11:31:45"/>
    <s v=""/>
    <s v=""/>
    <s v="CRT Transaction"/>
    <b v="1"/>
    <s v="Rev"/>
    <n v="0"/>
    <n v="4840.05"/>
    <n v="0"/>
    <n v="4840.05"/>
    <s v="01"/>
    <s v="000"/>
    <s v="1210"/>
    <s v="202300"/>
    <s v="0000"/>
  </r>
  <r>
    <x v="0"/>
    <s v="2023 PERSONAL PROPERTY RECEIVABLES"/>
    <n v="0"/>
    <n v="3"/>
    <x v="0"/>
    <s v="Receivable6315"/>
    <m/>
    <s v=""/>
    <n v="6315"/>
    <x v="205"/>
    <s v="23.03"/>
    <x v="121"/>
    <s v="jmcgovern"/>
    <d v="2023-06-15T11:33:44"/>
    <s v=""/>
    <s v=""/>
    <s v="CRT Transaction"/>
    <b v="1"/>
    <s v="Rev"/>
    <n v="0"/>
    <n v="3691.41"/>
    <n v="0"/>
    <n v="3691.41"/>
    <s v="01"/>
    <s v="000"/>
    <s v="1210"/>
    <s v="202300"/>
    <s v="0000"/>
  </r>
  <r>
    <x v="0"/>
    <s v="2023 PERSONAL PROPERTY RECEIVABLES"/>
    <n v="0"/>
    <n v="3"/>
    <x v="0"/>
    <s v="Receivable6213"/>
    <m/>
    <s v=""/>
    <n v="6213"/>
    <x v="206"/>
    <s v="23.04"/>
    <x v="122"/>
    <s v="jmcgovern"/>
    <d v="2023-06-21T09:31:28"/>
    <s v=""/>
    <s v=""/>
    <s v="CRT Transaction"/>
    <b v="1"/>
    <s v="Rev"/>
    <n v="0"/>
    <n v="0"/>
    <n v="126.15"/>
    <n v="-126.15"/>
    <s v="01"/>
    <s v="000"/>
    <s v="1210"/>
    <s v="202300"/>
    <s v="0000"/>
  </r>
  <r>
    <x v="0"/>
    <s v="2023 PERSONAL PROPERTY RECEIVABLES"/>
    <n v="0"/>
    <n v="3"/>
    <x v="0"/>
    <s v="Receivable6213"/>
    <m/>
    <s v=""/>
    <n v="6213"/>
    <x v="206"/>
    <s v="23.04"/>
    <x v="122"/>
    <s v="jmcgovern"/>
    <d v="2023-06-21T09:31:28"/>
    <s v=""/>
    <s v=""/>
    <s v="CRT Transaction"/>
    <b v="1"/>
    <s v="Rev"/>
    <n v="0"/>
    <n v="0"/>
    <n v="219204.06"/>
    <n v="-219204.06"/>
    <s v="01"/>
    <s v="000"/>
    <s v="1210"/>
    <s v="202300"/>
    <s v="0000"/>
  </r>
  <r>
    <x v="0"/>
    <s v="2023 PERSONAL PROPERTY RECEIVABLES"/>
    <n v="0"/>
    <n v="3"/>
    <x v="0"/>
    <s v="Receivable6224"/>
    <m/>
    <s v=""/>
    <n v="6224"/>
    <x v="207"/>
    <s v="23.04"/>
    <x v="123"/>
    <s v="jmcgovern"/>
    <d v="2023-06-21T09:32:02"/>
    <s v=""/>
    <s v=""/>
    <s v="CRT Transaction"/>
    <b v="1"/>
    <s v="Rev"/>
    <n v="0"/>
    <n v="0"/>
    <n v="213.77"/>
    <n v="-213.77"/>
    <s v="01"/>
    <s v="000"/>
    <s v="1210"/>
    <s v="202300"/>
    <s v="0000"/>
  </r>
  <r>
    <x v="0"/>
    <s v="2023 PERSONAL PROPERTY RECEIVABLES"/>
    <n v="0"/>
    <n v="3"/>
    <x v="0"/>
    <s v="Receivable6258"/>
    <m/>
    <s v=""/>
    <n v="6258"/>
    <x v="208"/>
    <s v="23.04"/>
    <x v="124"/>
    <s v="jmcgovern"/>
    <d v="2023-06-21T11:19:52"/>
    <s v=""/>
    <s v=""/>
    <s v="CRT Transaction"/>
    <b v="1"/>
    <s v="Rev"/>
    <n v="0"/>
    <n v="0"/>
    <n v="108217.49"/>
    <n v="-108217.49"/>
    <s v="01"/>
    <s v="000"/>
    <s v="1210"/>
    <s v="202300"/>
    <s v="0000"/>
  </r>
  <r>
    <x v="0"/>
    <s v="2023 PERSONAL PROPERTY RECEIVABLES"/>
    <n v="0"/>
    <n v="3"/>
    <x v="0"/>
    <s v="Receivable6259"/>
    <m/>
    <s v=""/>
    <n v="6259"/>
    <x v="209"/>
    <s v="23.04"/>
    <x v="125"/>
    <s v="jmcgovern"/>
    <d v="2023-06-21T11:20:26"/>
    <s v=""/>
    <s v=""/>
    <s v="CRT Transaction"/>
    <b v="1"/>
    <s v="Rev"/>
    <n v="0"/>
    <n v="0"/>
    <n v="104.6"/>
    <n v="-104.6"/>
    <s v="01"/>
    <s v="000"/>
    <s v="1210"/>
    <s v="202300"/>
    <s v="0000"/>
  </r>
  <r>
    <x v="0"/>
    <s v="2023 PERSONAL PROPERTY RECEIVABLES"/>
    <n v="0"/>
    <n v="3"/>
    <x v="0"/>
    <s v="Receivable6259"/>
    <m/>
    <s v=""/>
    <n v="6259"/>
    <x v="209"/>
    <s v="23.04"/>
    <x v="125"/>
    <s v="jmcgovern"/>
    <d v="2023-06-21T11:20:26"/>
    <s v=""/>
    <s v=""/>
    <s v="CRT Transaction"/>
    <b v="1"/>
    <s v="Rev"/>
    <n v="0"/>
    <n v="0"/>
    <n v="154206.14000000001"/>
    <n v="-154206.14000000001"/>
    <s v="01"/>
    <s v="000"/>
    <s v="1210"/>
    <s v="202300"/>
    <s v="0000"/>
  </r>
  <r>
    <x v="0"/>
    <s v="2023 PERSONAL PROPERTY RECEIVABLES"/>
    <n v="0"/>
    <n v="2"/>
    <x v="2"/>
    <s v="Payable6531"/>
    <n v="344"/>
    <s v="52A-AP063023"/>
    <n v="6531"/>
    <x v="210"/>
    <s v="52A-FY23"/>
    <x v="0"/>
    <s v="NRigano"/>
    <d v="2023-07-17T12:59:39"/>
    <s v="KISER%JOY J."/>
    <s v="RE-REFUND INTEREST"/>
    <s v="62 FARM Q4 INTEREST &amp; FEE FUND"/>
    <b v="1"/>
    <s v="Rev"/>
    <n v="0"/>
    <n v="345.77"/>
    <n v="0"/>
    <n v="345.77"/>
    <s v="01"/>
    <s v="000"/>
    <s v="1210"/>
    <s v="202300"/>
    <s v="0000"/>
  </r>
  <r>
    <x v="0"/>
    <s v="2023 PERSONAL PROPERTY RECEIVABLES"/>
    <n v="0"/>
    <n v="3"/>
    <x v="0"/>
    <s v="Receivable6260"/>
    <m/>
    <s v=""/>
    <n v="6260"/>
    <x v="211"/>
    <s v="23.04"/>
    <x v="126"/>
    <s v="jmcgovern"/>
    <d v="2023-06-21T11:21:06"/>
    <s v=""/>
    <s v=""/>
    <s v="CRT Transaction"/>
    <b v="1"/>
    <s v="Rev"/>
    <n v="0"/>
    <n v="0"/>
    <n v="104541.61"/>
    <n v="-104541.61"/>
    <s v="01"/>
    <s v="000"/>
    <s v="1210"/>
    <s v="202300"/>
    <s v="0000"/>
  </r>
  <r>
    <x v="0"/>
    <s v="2023 PERSONAL PROPERTY RECEIVABLES"/>
    <n v="0"/>
    <n v="3"/>
    <x v="0"/>
    <s v="Receivable6261"/>
    <m/>
    <s v=""/>
    <n v="6261"/>
    <x v="212"/>
    <s v="23.04"/>
    <x v="127"/>
    <s v="jmcgovern"/>
    <d v="2023-06-21T11:21:40"/>
    <s v=""/>
    <s v=""/>
    <s v="CRT Transaction"/>
    <b v="1"/>
    <s v="Rev"/>
    <n v="0"/>
    <n v="0"/>
    <n v="63000.66"/>
    <n v="-63000.66"/>
    <s v="01"/>
    <s v="000"/>
    <s v="1210"/>
    <s v="202300"/>
    <s v="0000"/>
  </r>
  <r>
    <x v="0"/>
    <s v="2023 PERSONAL PROPERTY RECEIVABLES"/>
    <n v="0"/>
    <n v="3"/>
    <x v="0"/>
    <s v="Receivable6262"/>
    <m/>
    <s v=""/>
    <n v="6262"/>
    <x v="213"/>
    <s v="23.04"/>
    <x v="128"/>
    <s v="jmcgovern"/>
    <d v="2023-06-21T11:22:04"/>
    <s v=""/>
    <s v=""/>
    <s v="CRT Transaction"/>
    <b v="1"/>
    <s v="Rev"/>
    <n v="0"/>
    <n v="0"/>
    <n v="188729.4"/>
    <n v="-188729.4"/>
    <s v="01"/>
    <s v="000"/>
    <s v="1210"/>
    <s v="202300"/>
    <s v="0000"/>
  </r>
  <r>
    <x v="0"/>
    <s v="2023 PERSONAL PROPERTY RECEIVABLES"/>
    <n v="0"/>
    <n v="3"/>
    <x v="0"/>
    <s v="Receivable6669"/>
    <m/>
    <s v=""/>
    <n v="6669"/>
    <x v="214"/>
    <s v="23.04"/>
    <x v="129"/>
    <s v="jmcgovern"/>
    <d v="2023-08-22T11:54:48"/>
    <s v=""/>
    <s v=""/>
    <s v="CRT Transaction"/>
    <b v="1"/>
    <s v="Rev"/>
    <n v="0"/>
    <n v="0"/>
    <n v="2345.5100000000002"/>
    <n v="-2345.5100000000002"/>
    <s v="01"/>
    <s v="000"/>
    <s v="1210"/>
    <s v="202300"/>
    <s v="0000"/>
  </r>
  <r>
    <x v="0"/>
    <s v="2023 PERSONAL PROPERTY RECEIVABLES"/>
    <n v="0"/>
    <n v="3"/>
    <x v="0"/>
    <s v="Receivable6476"/>
    <m/>
    <s v=""/>
    <n v="6476"/>
    <x v="215"/>
    <s v="23.06"/>
    <x v="130"/>
    <s v="jmcgovern"/>
    <d v="2023-08-01T10:49:30"/>
    <s v=""/>
    <s v=""/>
    <s v="CRT Transaction"/>
    <b v="1"/>
    <s v="Rev"/>
    <n v="0"/>
    <n v="0"/>
    <n v="3181.92"/>
    <n v="-3181.92"/>
    <s v="01"/>
    <s v="000"/>
    <s v="1210"/>
    <s v="202300"/>
    <s v="0000"/>
  </r>
  <r>
    <x v="0"/>
    <s v="2023 PERSONAL PROPERTY RECEIVABLES"/>
    <n v="0"/>
    <n v="3"/>
    <x v="0"/>
    <s v="Receivable6644"/>
    <m/>
    <s v=""/>
    <n v="6644"/>
    <x v="216"/>
    <s v="23.04"/>
    <x v="124"/>
    <s v="jmcgovern"/>
    <d v="2023-08-22T15:29:52"/>
    <s v=""/>
    <s v=""/>
    <s v="CRT Transaction"/>
    <b v="1"/>
    <s v="Rev"/>
    <n v="0"/>
    <n v="0"/>
    <n v="2666945.61"/>
    <n v="-2666945.61"/>
    <s v="01"/>
    <s v="000"/>
    <s v="1210"/>
    <s v="202300"/>
    <s v="0000"/>
  </r>
  <r>
    <x v="0"/>
    <s v="2023 PERSONAL PROPERTY RECEIVABLES"/>
    <n v="0"/>
    <n v="3"/>
    <x v="0"/>
    <s v="Receivable6676"/>
    <m/>
    <s v=""/>
    <n v="6676"/>
    <x v="217"/>
    <s v="23.04"/>
    <x v="131"/>
    <s v="jmcgovern"/>
    <d v="2023-08-24T09:19:55"/>
    <s v=""/>
    <s v=""/>
    <s v="CRT Transaction"/>
    <b v="1"/>
    <s v="Rev"/>
    <n v="0"/>
    <n v="0"/>
    <n v="27816.5"/>
    <n v="-27816.5"/>
    <s v="01"/>
    <s v="000"/>
    <s v="1210"/>
    <s v="202300"/>
    <s v="0000"/>
  </r>
  <r>
    <x v="0"/>
    <s v="2023 PERSONAL PROPERTY RECEIVABLES"/>
    <n v="0"/>
    <n v="3"/>
    <x v="0"/>
    <s v="Receivable6676"/>
    <m/>
    <s v=""/>
    <n v="6676"/>
    <x v="217"/>
    <s v="23.04"/>
    <x v="131"/>
    <s v="jmcgovern"/>
    <d v="2023-08-24T09:19:55"/>
    <s v=""/>
    <s v=""/>
    <s v="CRT Transaction"/>
    <b v="1"/>
    <s v="Rev"/>
    <n v="0"/>
    <n v="0"/>
    <n v="1060072.69"/>
    <n v="-1060072.69"/>
    <s v="01"/>
    <s v="000"/>
    <s v="1210"/>
    <s v="202300"/>
    <s v="0000"/>
  </r>
  <r>
    <x v="0"/>
    <s v="2023 PERSONAL PROPERTY RECEIVABLES"/>
    <n v="0"/>
    <n v="3"/>
    <x v="0"/>
    <s v="Receivable6264"/>
    <m/>
    <s v=""/>
    <n v="6264"/>
    <x v="218"/>
    <s v="23.05"/>
    <x v="83"/>
    <s v="jmcgovern"/>
    <d v="2023-09-05T11:57:15"/>
    <s v=""/>
    <s v=""/>
    <s v="CRT Transaction"/>
    <b v="1"/>
    <s v="Rev"/>
    <n v="0"/>
    <n v="0"/>
    <n v="5434.74"/>
    <n v="-5434.74"/>
    <s v="01"/>
    <s v="000"/>
    <s v="1210"/>
    <s v="202300"/>
    <s v="0000"/>
  </r>
  <r>
    <x v="0"/>
    <s v="2023 PERSONAL PROPERTY RECEIVABLES"/>
    <n v="0"/>
    <n v="3"/>
    <x v="0"/>
    <s v="Receivable6321"/>
    <m/>
    <s v=""/>
    <n v="6321"/>
    <x v="219"/>
    <s v="23.05"/>
    <x v="132"/>
    <s v="jmcgovern"/>
    <d v="2023-09-05T12:25:12"/>
    <s v=""/>
    <s v=""/>
    <s v="CRT Transaction"/>
    <b v="1"/>
    <s v="Rev"/>
    <n v="0"/>
    <n v="0"/>
    <n v="231351.45"/>
    <n v="-231351.45"/>
    <s v="01"/>
    <s v="000"/>
    <s v="1210"/>
    <s v="202300"/>
    <s v="0000"/>
  </r>
  <r>
    <x v="0"/>
    <s v="2023 PERSONAL PROPERTY RECEIVABLES"/>
    <n v="0"/>
    <n v="3"/>
    <x v="0"/>
    <s v="Receivable6699"/>
    <m/>
    <s v=""/>
    <n v="6699"/>
    <x v="220"/>
    <s v="23.05"/>
    <x v="133"/>
    <s v="jmcgovern"/>
    <d v="2023-09-05T12:33:58"/>
    <s v=""/>
    <s v=""/>
    <s v="CRT Transaction"/>
    <b v="1"/>
    <s v="Rev"/>
    <n v="0"/>
    <n v="0"/>
    <n v="29266.91"/>
    <n v="-29266.91"/>
    <s v="01"/>
    <s v="000"/>
    <s v="1210"/>
    <s v="202300"/>
    <s v="0000"/>
  </r>
  <r>
    <x v="0"/>
    <s v="2023 PERSONAL PROPERTY RECEIVABLES"/>
    <n v="0"/>
    <n v="3"/>
    <x v="0"/>
    <s v="Receivable6024"/>
    <m/>
    <s v=""/>
    <n v="6024"/>
    <x v="221"/>
    <s v="23.02"/>
    <x v="134"/>
    <s v="jmcgovern"/>
    <d v="2023-09-11T10:25:52"/>
    <s v=""/>
    <s v=""/>
    <s v="CRT Transaction"/>
    <b v="1"/>
    <s v="Rev"/>
    <n v="0"/>
    <n v="0"/>
    <n v="2790.71"/>
    <n v="-2790.71"/>
    <s v="01"/>
    <s v="000"/>
    <s v="1210"/>
    <s v="202300"/>
    <s v="0000"/>
  </r>
  <r>
    <x v="0"/>
    <s v="2023 PERSONAL PROPERTY RECEIVABLES"/>
    <n v="0"/>
    <n v="3"/>
    <x v="0"/>
    <s v="Receivable6700"/>
    <m/>
    <s v=""/>
    <n v="6700"/>
    <x v="222"/>
    <s v="23.05"/>
    <x v="133"/>
    <s v="jmcgovern"/>
    <d v="2023-09-05T12:34:58"/>
    <s v=""/>
    <s v=""/>
    <s v="CRT Transaction"/>
    <b v="1"/>
    <s v="Rev"/>
    <n v="0"/>
    <n v="0"/>
    <n v="875"/>
    <n v="-875"/>
    <s v="01"/>
    <s v="000"/>
    <s v="1210"/>
    <s v="202300"/>
    <s v="0000"/>
  </r>
  <r>
    <x v="0"/>
    <s v="2023 PERSONAL PROPERTY RECEIVABLES"/>
    <n v="0"/>
    <n v="3"/>
    <x v="0"/>
    <s v="Receivable6701"/>
    <m/>
    <s v=""/>
    <n v="6701"/>
    <x v="223"/>
    <s v="23.05"/>
    <x v="83"/>
    <s v="jmcgovern"/>
    <d v="2023-09-05T12:35:48"/>
    <s v=""/>
    <s v=""/>
    <s v="CRT Transaction"/>
    <b v="1"/>
    <s v="Rev"/>
    <n v="0"/>
    <n v="3487.08"/>
    <n v="0"/>
    <n v="3487.08"/>
    <s v="01"/>
    <s v="000"/>
    <s v="1210"/>
    <s v="202300"/>
    <s v="0000"/>
  </r>
  <r>
    <x v="0"/>
    <s v="2023 PERSONAL PROPERTY RECEIVABLES"/>
    <n v="0"/>
    <n v="3"/>
    <x v="0"/>
    <s v="Receivable6224"/>
    <m/>
    <s v=""/>
    <n v="6224"/>
    <x v="207"/>
    <s v="23.04"/>
    <x v="123"/>
    <s v="jmcgovern"/>
    <d v="2023-06-21T09:32:02"/>
    <s v=""/>
    <s v=""/>
    <s v="CRT Transaction"/>
    <b v="1"/>
    <s v="Rev"/>
    <n v="0"/>
    <n v="0"/>
    <n v="62780.54"/>
    <n v="-62780.54"/>
    <s v="01"/>
    <s v="000"/>
    <s v="1210"/>
    <s v="202300"/>
    <s v="0000"/>
  </r>
  <r>
    <x v="0"/>
    <s v="2023 PERSONAL PROPERTY RECEIVABLES"/>
    <n v="0"/>
    <n v="3"/>
    <x v="0"/>
    <s v="Receivable5818"/>
    <m/>
    <s v=""/>
    <n v="5818"/>
    <x v="224"/>
    <s v="23.02"/>
    <x v="101"/>
    <s v="jmcgovern"/>
    <d v="2023-06-07T14:51:41"/>
    <s v=""/>
    <s v=""/>
    <s v="CRT Transaction"/>
    <b v="1"/>
    <s v="Rev"/>
    <n v="0"/>
    <n v="0"/>
    <n v="34.200000000000003"/>
    <n v="-34.200000000000003"/>
    <s v="01"/>
    <s v="000"/>
    <s v="1210"/>
    <s v="202300"/>
    <s v="0000"/>
  </r>
  <r>
    <x v="0"/>
    <s v="2023 PERSONAL PROPERTY RECEIVABLES"/>
    <n v="0"/>
    <n v="3"/>
    <x v="0"/>
    <s v="Receivable5818"/>
    <m/>
    <s v=""/>
    <n v="5818"/>
    <x v="224"/>
    <s v="23.02"/>
    <x v="101"/>
    <s v="jmcgovern"/>
    <d v="2023-06-07T14:51:41"/>
    <s v=""/>
    <s v=""/>
    <s v="CRT Transaction"/>
    <b v="1"/>
    <s v="Rev"/>
    <n v="0"/>
    <n v="0"/>
    <n v="58621.07"/>
    <n v="-58621.07"/>
    <s v="01"/>
    <s v="000"/>
    <s v="1210"/>
    <s v="202300"/>
    <s v="0000"/>
  </r>
  <r>
    <x v="0"/>
    <s v="2023 PERSONAL PROPERTY RECEIVABLES"/>
    <n v="0"/>
    <n v="3"/>
    <x v="0"/>
    <s v="Receivable5832"/>
    <m/>
    <s v=""/>
    <n v="5832"/>
    <x v="225"/>
    <s v="23.02"/>
    <x v="101"/>
    <s v="jmcgovern"/>
    <d v="2023-06-07T14:55:13"/>
    <s v=""/>
    <s v=""/>
    <s v="CRT Transaction"/>
    <b v="1"/>
    <s v="Rev"/>
    <n v="0"/>
    <n v="0"/>
    <n v="14643.82"/>
    <n v="-14643.82"/>
    <s v="01"/>
    <s v="000"/>
    <s v="1210"/>
    <s v="202300"/>
    <s v="0000"/>
  </r>
  <r>
    <x v="0"/>
    <s v="2023 PERSONAL PROPERTY RECEIVABLES"/>
    <n v="0"/>
    <n v="3"/>
    <x v="0"/>
    <s v="Receivable6081"/>
    <m/>
    <s v=""/>
    <n v="6081"/>
    <x v="226"/>
    <s v="23.03"/>
    <x v="135"/>
    <s v="jmcgovern"/>
    <d v="2023-06-14T14:05:38"/>
    <s v=""/>
    <s v=""/>
    <s v="CRT Transaction"/>
    <b v="1"/>
    <s v="Rev"/>
    <n v="0"/>
    <n v="0"/>
    <n v="5268.51"/>
    <n v="-5268.51"/>
    <s v="01"/>
    <s v="000"/>
    <s v="1210"/>
    <s v="202300"/>
    <s v="0000"/>
  </r>
  <r>
    <x v="0"/>
    <s v="2023 PERSONAL PROPERTY RECEIVABLES"/>
    <n v="0"/>
    <n v="3"/>
    <x v="0"/>
    <s v="Receivable6098"/>
    <m/>
    <s v=""/>
    <n v="6098"/>
    <x v="227"/>
    <s v="23.03"/>
    <x v="135"/>
    <s v="jmcgovern"/>
    <d v="2023-06-14T14:05:48"/>
    <s v=""/>
    <s v=""/>
    <s v="CRT Transaction"/>
    <b v="1"/>
    <s v="Rev"/>
    <n v="0"/>
    <n v="0"/>
    <n v="28.18"/>
    <n v="-28.18"/>
    <s v="01"/>
    <s v="000"/>
    <s v="1210"/>
    <s v="202300"/>
    <s v="0000"/>
  </r>
  <r>
    <x v="0"/>
    <s v="2023 PERSONAL PROPERTY RECEIVABLES"/>
    <n v="0"/>
    <n v="3"/>
    <x v="0"/>
    <s v="Receivable6098"/>
    <m/>
    <s v=""/>
    <n v="6098"/>
    <x v="227"/>
    <s v="23.03"/>
    <x v="135"/>
    <s v="jmcgovern"/>
    <d v="2023-06-14T14:05:48"/>
    <s v=""/>
    <s v=""/>
    <s v="CRT Transaction"/>
    <b v="1"/>
    <s v="Rev"/>
    <n v="0"/>
    <n v="0"/>
    <n v="5323.6"/>
    <n v="-5323.6"/>
    <s v="01"/>
    <s v="000"/>
    <s v="1210"/>
    <s v="202300"/>
    <s v="0000"/>
  </r>
  <r>
    <x v="0"/>
    <s v="2023 PERSONAL PROPERTY RECEIVABLES"/>
    <n v="0"/>
    <n v="3"/>
    <x v="0"/>
    <s v="Receivable6316"/>
    <m/>
    <s v=""/>
    <n v="6316"/>
    <x v="228"/>
    <s v="23.03"/>
    <x v="121"/>
    <s v="jmcgovern"/>
    <d v="2023-06-15T11:34:03"/>
    <s v=""/>
    <s v=""/>
    <s v="CRT Transaction"/>
    <b v="1"/>
    <s v="Rev"/>
    <n v="0"/>
    <n v="860"/>
    <n v="0"/>
    <n v="860"/>
    <s v="01"/>
    <s v="000"/>
    <s v="1210"/>
    <s v="202300"/>
    <s v="0000"/>
  </r>
  <r>
    <x v="0"/>
    <s v="2023 PERSONAL PROPERTY RECEIVABLES"/>
    <n v="0"/>
    <n v="3"/>
    <x v="0"/>
    <s v="Receivable6139"/>
    <m/>
    <s v=""/>
    <n v="6139"/>
    <x v="229"/>
    <s v="23.03"/>
    <x v="136"/>
    <s v="jmcgovern"/>
    <d v="2023-06-15T12:35:50"/>
    <s v=""/>
    <s v=""/>
    <s v="CRT Transaction"/>
    <b v="1"/>
    <s v="Rev"/>
    <n v="0"/>
    <n v="0"/>
    <n v="46150.65"/>
    <n v="-46150.65"/>
    <s v="01"/>
    <s v="000"/>
    <s v="1210"/>
    <s v="202300"/>
    <s v="0000"/>
  </r>
  <r>
    <x v="0"/>
    <s v="2023 PERSONAL PROPERTY RECEIVABLES"/>
    <n v="0"/>
    <n v="3"/>
    <x v="0"/>
    <s v="Receivable5998"/>
    <m/>
    <s v=""/>
    <n v="5998"/>
    <x v="230"/>
    <s v="23.02"/>
    <x v="137"/>
    <s v="jmcgovern"/>
    <d v="2023-06-20T11:13:24"/>
    <s v=""/>
    <s v=""/>
    <s v="CRT Transaction"/>
    <b v="1"/>
    <s v="Rev"/>
    <n v="0"/>
    <n v="0"/>
    <n v="12728.2"/>
    <n v="-12728.2"/>
    <s v="01"/>
    <s v="000"/>
    <s v="1210"/>
    <s v="202300"/>
    <s v="0000"/>
  </r>
  <r>
    <x v="0"/>
    <s v="2023 PERSONAL PROPERTY RECEIVABLES"/>
    <n v="0"/>
    <n v="3"/>
    <x v="0"/>
    <s v="Receivable6225"/>
    <m/>
    <s v=""/>
    <n v="6225"/>
    <x v="231"/>
    <s v="23.04"/>
    <x v="138"/>
    <s v="jmcgovern"/>
    <d v="2023-06-21T09:32:38"/>
    <s v=""/>
    <s v=""/>
    <s v="CRT Transaction"/>
    <b v="1"/>
    <s v="Rev"/>
    <n v="0"/>
    <n v="0"/>
    <n v="63318.879999999997"/>
    <n v="-63318.879999999997"/>
    <s v="01"/>
    <s v="000"/>
    <s v="1210"/>
    <s v="202300"/>
    <s v="0000"/>
  </r>
  <r>
    <x v="0"/>
    <s v="2023 PERSONAL PROPERTY RECEIVABLES"/>
    <n v="0"/>
    <n v="3"/>
    <x v="0"/>
    <s v="Receivable6226"/>
    <m/>
    <s v=""/>
    <n v="6226"/>
    <x v="232"/>
    <s v="23.04"/>
    <x v="139"/>
    <s v="jmcgovern"/>
    <d v="2023-06-21T09:33:24"/>
    <s v=""/>
    <s v=""/>
    <s v="CRT Transaction"/>
    <b v="1"/>
    <s v="Rev"/>
    <n v="0"/>
    <n v="0"/>
    <n v="245436.82"/>
    <n v="-245436.82"/>
    <s v="01"/>
    <s v="000"/>
    <s v="1210"/>
    <s v="202300"/>
    <s v="0000"/>
  </r>
  <r>
    <x v="0"/>
    <s v="2023 PERSONAL PROPERTY RECEIVABLES"/>
    <n v="0"/>
    <n v="3"/>
    <x v="0"/>
    <s v="Receivable6217"/>
    <m/>
    <s v=""/>
    <n v="6217"/>
    <x v="233"/>
    <s v="23.04"/>
    <x v="140"/>
    <s v="jmcgovern"/>
    <d v="2023-06-21T09:33:47"/>
    <s v=""/>
    <s v=""/>
    <s v="CRT Transaction"/>
    <b v="1"/>
    <s v="Rev"/>
    <n v="0"/>
    <n v="0"/>
    <n v="78883.929999999993"/>
    <n v="-78883.929999999993"/>
    <s v="01"/>
    <s v="000"/>
    <s v="1210"/>
    <s v="202300"/>
    <s v="0000"/>
  </r>
  <r>
    <x v="0"/>
    <s v="2023 PERSONAL PROPERTY RECEIVABLES"/>
    <n v="0"/>
    <n v="3"/>
    <x v="0"/>
    <s v="Receivable6240"/>
    <m/>
    <s v=""/>
    <n v="6240"/>
    <x v="234"/>
    <s v="23.04"/>
    <x v="141"/>
    <s v="jmcgovern"/>
    <d v="2023-06-21T09:42:25"/>
    <s v=""/>
    <s v=""/>
    <s v="CRT Transaction"/>
    <b v="1"/>
    <s v="Rev"/>
    <n v="0"/>
    <n v="0"/>
    <n v="63719.01"/>
    <n v="-63719.01"/>
    <s v="01"/>
    <s v="000"/>
    <s v="1210"/>
    <s v="202300"/>
    <s v="0000"/>
  </r>
  <r>
    <x v="0"/>
    <s v="2023 PERSONAL PROPERTY RECEIVABLES"/>
    <n v="0"/>
    <n v="3"/>
    <x v="0"/>
    <s v="Receivable5843"/>
    <m/>
    <s v=""/>
    <n v="5843"/>
    <x v="235"/>
    <s v="23.02"/>
    <x v="101"/>
    <s v="jmcgovern"/>
    <d v="2023-06-07T15:02:50"/>
    <s v=""/>
    <s v=""/>
    <s v="CRT Transaction"/>
    <b v="1"/>
    <s v="Rev"/>
    <n v="0"/>
    <n v="0"/>
    <n v="335.86"/>
    <n v="-335.86"/>
    <s v="01"/>
    <s v="000"/>
    <s v="1210"/>
    <s v="202300"/>
    <s v="0000"/>
  </r>
  <r>
    <x v="0"/>
    <s v="2023 PERSONAL PROPERTY RECEIVABLES"/>
    <n v="0"/>
    <n v="3"/>
    <x v="0"/>
    <s v="Receivable5843"/>
    <m/>
    <s v=""/>
    <n v="5843"/>
    <x v="235"/>
    <s v="23.02"/>
    <x v="101"/>
    <s v="jmcgovern"/>
    <d v="2023-06-07T15:02:50"/>
    <s v=""/>
    <s v=""/>
    <s v="CRT Transaction"/>
    <b v="1"/>
    <s v="Rev"/>
    <n v="0"/>
    <n v="0"/>
    <n v="551495.21"/>
    <n v="-551495.21"/>
    <s v="01"/>
    <s v="000"/>
    <s v="1210"/>
    <s v="202300"/>
    <s v="0000"/>
  </r>
  <r>
    <x v="0"/>
    <s v="2023 PERSONAL PROPERTY RECEIVABLES"/>
    <n v="0"/>
    <n v="3"/>
    <x v="0"/>
    <s v="Receivable5849"/>
    <m/>
    <s v=""/>
    <n v="5849"/>
    <x v="236"/>
    <s v="23.02"/>
    <x v="142"/>
    <s v="jmcgovern"/>
    <d v="2023-06-07T15:06:24"/>
    <s v=""/>
    <s v=""/>
    <s v="CRT Transaction"/>
    <b v="1"/>
    <s v="Rev"/>
    <n v="0"/>
    <n v="0"/>
    <n v="56.77"/>
    <n v="-56.77"/>
    <s v="01"/>
    <s v="000"/>
    <s v="1210"/>
    <s v="202300"/>
    <s v="0000"/>
  </r>
  <r>
    <x v="0"/>
    <s v="2023 PERSONAL PROPERTY RECEIVABLES"/>
    <n v="0"/>
    <n v="3"/>
    <x v="0"/>
    <s v="Receivable5849"/>
    <m/>
    <s v=""/>
    <n v="5849"/>
    <x v="236"/>
    <s v="23.02"/>
    <x v="142"/>
    <s v="jmcgovern"/>
    <d v="2023-06-07T15:06:24"/>
    <s v=""/>
    <s v=""/>
    <s v="CRT Transaction"/>
    <b v="1"/>
    <s v="Rev"/>
    <n v="0"/>
    <n v="0"/>
    <n v="43800.02"/>
    <n v="-43800.02"/>
    <s v="01"/>
    <s v="000"/>
    <s v="1210"/>
    <s v="202300"/>
    <s v="0000"/>
  </r>
  <r>
    <x v="0"/>
    <s v="2023 PERSONAL PROPERTY RECEIVABLES"/>
    <n v="0"/>
    <n v="3"/>
    <x v="0"/>
    <s v="Receivable6317"/>
    <m/>
    <s v=""/>
    <n v="6317"/>
    <x v="237"/>
    <s v="23.03"/>
    <x v="121"/>
    <s v="jmcgovern"/>
    <d v="2023-06-14T14:43:18"/>
    <s v=""/>
    <s v=""/>
    <s v="CRT Transaction"/>
    <b v="1"/>
    <s v="Rev"/>
    <n v="0"/>
    <n v="5899.83"/>
    <n v="0"/>
    <n v="5899.83"/>
    <s v="01"/>
    <s v="000"/>
    <s v="1210"/>
    <s v="202300"/>
    <s v="0000"/>
  </r>
  <r>
    <x v="0"/>
    <s v="2023 PERSONAL PROPERTY RECEIVABLES"/>
    <n v="0"/>
    <n v="3"/>
    <x v="0"/>
    <s v="Receivable6140"/>
    <m/>
    <s v=""/>
    <n v="6140"/>
    <x v="238"/>
    <s v="23.03"/>
    <x v="136"/>
    <s v="jmcgovern"/>
    <d v="2023-06-15T12:36:01"/>
    <s v=""/>
    <s v=""/>
    <s v="CRT Transaction"/>
    <b v="1"/>
    <s v="Rev"/>
    <n v="0"/>
    <n v="0"/>
    <n v="2749.44"/>
    <n v="-2749.44"/>
    <s v="01"/>
    <s v="000"/>
    <s v="1210"/>
    <s v="202300"/>
    <s v="0000"/>
  </r>
  <r>
    <x v="0"/>
    <s v="2023 PERSONAL PROPERTY RECEIVABLES"/>
    <n v="0"/>
    <n v="3"/>
    <x v="0"/>
    <s v="Receivable6161"/>
    <m/>
    <s v=""/>
    <n v="6161"/>
    <x v="239"/>
    <s v="23.03"/>
    <x v="143"/>
    <s v="jmcgovern"/>
    <d v="2023-06-15T12:36:09"/>
    <s v=""/>
    <s v=""/>
    <s v="CRT Transaction"/>
    <b v="1"/>
    <s v="Rev"/>
    <n v="0"/>
    <n v="0"/>
    <n v="19625.52"/>
    <n v="-19625.52"/>
    <s v="01"/>
    <s v="000"/>
    <s v="1210"/>
    <s v="202300"/>
    <s v="0000"/>
  </r>
  <r>
    <x v="0"/>
    <s v="2023 PERSONAL PROPERTY RECEIVABLES"/>
    <n v="0"/>
    <n v="3"/>
    <x v="0"/>
    <s v="Receivable6004"/>
    <m/>
    <s v=""/>
    <n v="6004"/>
    <x v="240"/>
    <s v="23.02"/>
    <x v="144"/>
    <s v="jmcgovern"/>
    <d v="2023-06-20T11:21:46"/>
    <s v=""/>
    <s v=""/>
    <s v="CRT Transaction"/>
    <b v="1"/>
    <s v="Rev"/>
    <n v="0"/>
    <n v="0"/>
    <n v="83125.91"/>
    <n v="-83125.91"/>
    <s v="01"/>
    <s v="000"/>
    <s v="1210"/>
    <s v="202300"/>
    <s v="0000"/>
  </r>
  <r>
    <x v="0"/>
    <s v="2023 PERSONAL PROPERTY RECEIVABLES"/>
    <n v="0"/>
    <n v="3"/>
    <x v="0"/>
    <s v="Receivable6180"/>
    <m/>
    <s v=""/>
    <n v="6180"/>
    <x v="241"/>
    <s v="23.02"/>
    <x v="145"/>
    <s v="jmcgovern"/>
    <d v="2023-06-20T11:24:07"/>
    <s v=""/>
    <s v=""/>
    <s v="CRT Transaction"/>
    <b v="1"/>
    <s v="Rev"/>
    <n v="0"/>
    <n v="0"/>
    <n v="1742.8"/>
    <n v="-1742.8"/>
    <s v="01"/>
    <s v="000"/>
    <s v="1210"/>
    <s v="202300"/>
    <s v="0000"/>
  </r>
  <r>
    <x v="0"/>
    <s v="2023 PERSONAL PROPERTY RECEIVABLES"/>
    <n v="0"/>
    <n v="3"/>
    <x v="0"/>
    <s v="Receivable6239"/>
    <m/>
    <s v=""/>
    <n v="6239"/>
    <x v="242"/>
    <s v="23.04"/>
    <x v="146"/>
    <s v="jmcgovern"/>
    <d v="2023-06-21T09:42:54"/>
    <s v=""/>
    <s v=""/>
    <s v="CRT Transaction"/>
    <b v="1"/>
    <s v="Rev"/>
    <n v="0"/>
    <n v="10923.68"/>
    <n v="0"/>
    <n v="10923.68"/>
    <s v="01"/>
    <s v="000"/>
    <s v="1210"/>
    <s v="202300"/>
    <s v="0000"/>
  </r>
  <r>
    <x v="0"/>
    <s v="2023 PERSONAL PROPERTY RECEIVABLES"/>
    <n v="0"/>
    <n v="3"/>
    <x v="0"/>
    <s v="Receivable6429"/>
    <m/>
    <s v=""/>
    <n v="6429"/>
    <x v="243"/>
    <s v="23.03"/>
    <x v="124"/>
    <s v="jmcgovern"/>
    <d v="2023-06-21T09:46:17"/>
    <s v=""/>
    <s v=""/>
    <s v=""/>
    <b v="1"/>
    <s v="Rev"/>
    <n v="0"/>
    <n v="0"/>
    <n v="13083.5"/>
    <n v="-13083.5"/>
    <s v="01"/>
    <s v="000"/>
    <s v="1210"/>
    <s v="202300"/>
    <s v="0000"/>
  </r>
  <r>
    <x v="0"/>
    <s v="2023 PERSONAL PROPERTY RECEIVABLES"/>
    <n v="0"/>
    <n v="3"/>
    <x v="0"/>
    <s v="Receivable6423"/>
    <m/>
    <s v=""/>
    <n v="6423"/>
    <x v="235"/>
    <s v="23.02"/>
    <x v="96"/>
    <s v="jmcgovern"/>
    <d v="2023-06-20T11:28:59"/>
    <s v=""/>
    <s v=""/>
    <s v=""/>
    <b v="1"/>
    <s v="Rev"/>
    <n v="0"/>
    <n v="3006.83"/>
    <n v="0"/>
    <n v="3006.83"/>
    <s v="01"/>
    <s v="000"/>
    <s v="1210"/>
    <s v="202300"/>
    <s v="0000"/>
  </r>
  <r>
    <x v="0"/>
    <s v="2023 PERSONAL PROPERTY RECEIVABLES"/>
    <n v="0"/>
    <n v="3"/>
    <x v="0"/>
    <s v="Receivable6425"/>
    <m/>
    <s v=""/>
    <n v="6425"/>
    <x v="236"/>
    <s v="23.02"/>
    <x v="116"/>
    <s v="jmcgovern"/>
    <d v="2023-06-20T11:31:45"/>
    <s v=""/>
    <s v=""/>
    <s v=""/>
    <b v="1"/>
    <s v="Rev"/>
    <n v="0"/>
    <n v="4761.96"/>
    <n v="0"/>
    <n v="4761.96"/>
    <s v="01"/>
    <s v="000"/>
    <s v="1210"/>
    <s v="202300"/>
    <s v="0000"/>
  </r>
  <r>
    <x v="0"/>
    <s v="2023 PERSONAL PROPERTY RECEIVABLES"/>
    <n v="0"/>
    <n v="3"/>
    <x v="0"/>
    <s v="Receivable6424"/>
    <m/>
    <s v=""/>
    <n v="6424"/>
    <x v="244"/>
    <s v="23.02"/>
    <x v="118"/>
    <s v="jmcgovern"/>
    <d v="2023-06-20T11:34:57"/>
    <s v=""/>
    <s v=""/>
    <s v=""/>
    <b v="1"/>
    <s v="Rev"/>
    <n v="0"/>
    <n v="0"/>
    <n v="4761.96"/>
    <n v="-4761.96"/>
    <s v="01"/>
    <s v="000"/>
    <s v="1210"/>
    <s v="202300"/>
    <s v="0000"/>
  </r>
  <r>
    <x v="0"/>
    <s v="2023 PERSONAL PROPERTY RECEIVABLES"/>
    <n v="0"/>
    <n v="3"/>
    <x v="0"/>
    <s v="Receivable5885"/>
    <m/>
    <s v=""/>
    <n v="5885"/>
    <x v="245"/>
    <s v="23.02"/>
    <x v="101"/>
    <s v="jmcgovern"/>
    <d v="2023-06-13T13:41:57"/>
    <s v=""/>
    <s v=""/>
    <s v="CRT Transaction"/>
    <b v="1"/>
    <s v="Rev"/>
    <n v="0"/>
    <n v="0"/>
    <n v="37962.839999999997"/>
    <n v="-37962.839999999997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770 CHESTNUT STREET LLC"/>
    <s v="1211"/>
    <s v="» Bill Yr: 2023 Prop Loc: DEDHAM ST Parcel ID: 8-4-0"/>
    <b v="1"/>
    <s v="Rev"/>
    <n v="0"/>
    <n v="450.98"/>
    <n v="0"/>
    <n v="450.98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ARMSTRONG UGO + ELSA"/>
    <s v="60"/>
    <s v="» Bill Yr: 2023 Prop Loc: -OFF GLEN ST Parcel ID: 9-10-0"/>
    <b v="1"/>
    <s v="Rev"/>
    <n v="0"/>
    <n v="23.66"/>
    <n v="0"/>
    <n v="23.66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ARNOLD OLIVIA S TRUSTEE +"/>
    <s v="2043"/>
    <s v="» Bill Yr: 2023 Prop Loc: -OFF CENTRE ST Parcel ID: 11-123-F"/>
    <b v="1"/>
    <s v="Rev"/>
    <n v="0"/>
    <n v="142.31"/>
    <n v="0"/>
    <n v="142.31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BADERTSCHER KENNETH P +"/>
    <s v="76"/>
    <s v="» Bill Yr: 2023 Prop Loc: 4 HUGHES LANE Parcel ID: 12-66-H"/>
    <b v="1"/>
    <s v="Rev"/>
    <n v="0"/>
    <n v="18.05"/>
    <n v="0"/>
    <n v="18.05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BAIN SAMUEL E + JANET G"/>
    <s v="82"/>
    <s v="» Bill Yr: 2023 Prop Loc: POWISSETT ST Parcel ID: 18-153-0"/>
    <b v="1"/>
    <s v="Rev"/>
    <n v="0"/>
    <n v="1159.5"/>
    <n v="0"/>
    <n v="1159.5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BEAN ELENA A TRUSTEE +"/>
    <s v="129"/>
    <s v="» Bill Yr: 2023 Prop Loc: HAVEN ST Parcel ID: 5-160-0"/>
    <b v="1"/>
    <s v="Rev"/>
    <n v="0"/>
    <n v="308.73"/>
    <n v="0"/>
    <n v="308.73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BLACKBURN ELLEN M + GLENN J"/>
    <s v="169"/>
    <s v="» Bill Yr: 2023 Prop Loc: -OFF TUBWRECK DR Parcel ID: 24-28-A"/>
    <b v="1"/>
    <s v="Rev"/>
    <n v="0"/>
    <n v="131.77000000000001"/>
    <n v="0"/>
    <n v="131.77000000000001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BOUDREAU ANDRE G + ELIZABETH L"/>
    <s v="200"/>
    <s v="» Bill Yr: 2023 Prop Loc: MAIN ST Parcel ID: 4-6-0"/>
    <b v="1"/>
    <s v="Rev"/>
    <n v="0"/>
    <n v="103.96"/>
    <n v="0"/>
    <n v="103.96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BOYLAN DANIEL J JR + DOROTHY L"/>
    <s v="211"/>
    <s v="» Bill Yr: 2023 Prop Loc: FARM ST Parcel ID: 10-35-0"/>
    <b v="1"/>
    <s v="Rev"/>
    <n v="0"/>
    <n v="110.31"/>
    <n v="0"/>
    <n v="110.31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BRANNELLY PAUL JOSEPH +"/>
    <s v="230"/>
    <s v="» Bill Yr: 2023 Prop Loc: WALPOLE ST Parcel ID: 18-18-A"/>
    <b v="1"/>
    <s v="Rev"/>
    <n v="0"/>
    <n v="63.44"/>
    <n v="0"/>
    <n v="63.44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BRENNAN AOIFE +"/>
    <s v="1478"/>
    <s v="» Bill Yr: 2023 Prop Loc: PEGAN LN Parcel ID: 10-29-0"/>
    <b v="1"/>
    <s v="Rev"/>
    <n v="0"/>
    <n v="28.77"/>
    <n v="0"/>
    <n v="28.77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CABOT SARAH ET AL TRUSTEES"/>
    <s v="300"/>
    <s v="» Bill Yr: 2023 Prop Loc: DEDHAM ST Parcel ID: 8-1-0"/>
    <b v="1"/>
    <s v="Rev"/>
    <n v="0"/>
    <n v="311.23"/>
    <n v="0"/>
    <n v="311.23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CABOT WALTER M JR TRUSTEE +"/>
    <s v="303"/>
    <s v="» Bill Yr: 2023 Prop Loc: STRAWBERRY HILL ST Parcel ID: 13-5-0"/>
    <b v="1"/>
    <s v="Rev"/>
    <n v="0"/>
    <n v="1038.28"/>
    <n v="0"/>
    <n v="1038.28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COLONIAL WATER COMPANY"/>
    <s v="409"/>
    <s v="» Bill Yr: 2023 Prop Loc: DRAPER RD Parcel ID: 23-93-J"/>
    <b v="1"/>
    <s v="Rev"/>
    <n v="0"/>
    <n v="1081.93"/>
    <n v="0"/>
    <n v="1081.93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CORRIGAN JAMES M TRUSTEE"/>
    <s v="2137"/>
    <s v="» Bill Yr: 2023 Prop Loc: -OFF FARM ST Parcel ID: 15-31-A"/>
    <b v="1"/>
    <s v="Rev"/>
    <n v="0"/>
    <n v="34.1"/>
    <n v="0"/>
    <n v="34.1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DESPOMARE FRANK +"/>
    <s v="542"/>
    <s v="» Bill Yr: 2023 Prop Loc: -OFF PLEASANT ST Parcel ID: 4-22-B"/>
    <b v="1"/>
    <s v="Rev"/>
    <n v="0"/>
    <n v="1143.69"/>
    <n v="0"/>
    <n v="1143.69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DEVINE JOHN M JR + K EILEEN F"/>
    <s v="547"/>
    <s v="» Bill Yr: 2023 Prop Loc: -OFF MAIN ST Parcel ID: 4-15-A"/>
    <b v="1"/>
    <s v="Rev"/>
    <n v="0"/>
    <n v="75.08"/>
    <n v="0"/>
    <n v="75.08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DOWNS FREDERICK S JR+SADHANA B"/>
    <s v="598"/>
    <s v="» Bill Yr: 2023 Prop Loc: 206 CLAYBROOK RD Parcel ID: 4-5-0"/>
    <b v="1"/>
    <s v="Rev"/>
    <n v="0"/>
    <n v="6026.3"/>
    <n v="0"/>
    <n v="6026.3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DRAKE DEREK M + RACHEL S"/>
    <s v="173"/>
    <s v="» Bill Yr: 2023 Prop Loc: 14 SHERBROOKE DR Parcel ID: 9-43-0"/>
    <b v="1"/>
    <s v="Rev"/>
    <n v="0"/>
    <n v="238.92"/>
    <n v="0"/>
    <n v="238.92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FAN LULU"/>
    <s v="651"/>
    <s v="» Bill Yr: 2023 Prop Loc: EDGEWATER DR Parcel ID: 5-19-A"/>
    <b v="1"/>
    <s v="Rev"/>
    <n v="0"/>
    <n v="79.06"/>
    <n v="0"/>
    <n v="79.06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FOSTER WILLIAM E + MARIAN C"/>
    <s v="716"/>
    <s v="» Bill Yr: 2023 Prop Loc: 8 HAWTHORNE LN 13 Parcel ID: 11-61-13-0"/>
    <b v="1"/>
    <s v="Rev"/>
    <n v="0"/>
    <n v="1488.4"/>
    <n v="0"/>
    <n v="1488.4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FRIEL JOHN + SUZANNE"/>
    <s v="736"/>
    <s v="» Bill Yr: 2023 Prop Loc: WALPOLE ST Parcel ID: 18-124-K"/>
    <b v="1"/>
    <s v="Rev"/>
    <n v="0"/>
    <n v="76.459999999999994"/>
    <n v="0"/>
    <n v="76.459999999999994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GARDINER FLORENCE G TRUSTEE"/>
    <s v="756"/>
    <s v="» Bill Yr: 2023 Prop Loc: -OFF JUNCTION ST Parcel ID: 20-3-0"/>
    <b v="1"/>
    <s v="Rev"/>
    <n v="0"/>
    <n v="2054.9299999999998"/>
    <n v="0"/>
    <n v="2054.9299999999998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GLIDDEN A BOYNTON III TRUSTEE"/>
    <s v="802"/>
    <s v="» Bill Yr: 2023 Prop Loc: CENTRE ST Parcel ID: 17-34-A"/>
    <b v="1"/>
    <s v="Rev"/>
    <n v="0"/>
    <n v="59.99"/>
    <n v="0"/>
    <n v="59.99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HANLEY MICHAEL J + LAURA G"/>
    <s v="921"/>
    <s v="» Bill Yr: 2023 Prop Loc: 164-A CENTRE ST Parcel ID: 21-53-A"/>
    <b v="1"/>
    <s v="Rev"/>
    <n v="0"/>
    <n v="3841.07"/>
    <n v="0"/>
    <n v="3841.07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HAYES KATHLEEN B + DANA J TRS"/>
    <s v="951"/>
    <s v="» Bill Yr: 2023 Prop Loc: -OFF BROOKFIELD RD Parcel ID: 24-66-D"/>
    <b v="1"/>
    <s v="Rev"/>
    <n v="0"/>
    <n v="543.12"/>
    <n v="0"/>
    <n v="543.12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HEESPELINK CHRISTOPHER +"/>
    <s v="961"/>
    <s v="» Bill Yr: 2023 Prop Loc: HARTFORD ST Parcel ID: 24-148-0"/>
    <b v="1"/>
    <s v="Rev"/>
    <n v="0"/>
    <n v="94.87"/>
    <n v="0"/>
    <n v="94.87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HOLZ JOHN B +"/>
    <s v="1013"/>
    <s v="» Bill Yr: 2023 Prop Loc: INDIAN RIDGE RD Parcel ID: 9-11-0"/>
    <b v="1"/>
    <s v="Rev"/>
    <n v="0"/>
    <n v="16.21"/>
    <n v="0"/>
    <n v="16.21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IRELAND KATHRYN M"/>
    <s v="1053"/>
    <s v="» Bill Yr: 2023 Prop Loc: 10 CLOVER CR 19 Parcel ID: 11-61-19-0"/>
    <b v="1"/>
    <s v="Rev"/>
    <n v="0"/>
    <n v="524.16999999999996"/>
    <n v="0"/>
    <n v="524.16999999999996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KARLSON STEVEN E"/>
    <s v="1094"/>
    <s v="» Bill Yr: 2023 Prop Loc: -OFF ADAMS LN Parcel ID: 13-15-A"/>
    <b v="1"/>
    <s v="Rev"/>
    <n v="0"/>
    <n v="1598.26"/>
    <n v="0"/>
    <n v="1598.26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LI HONGTAO +"/>
    <s v="1257"/>
    <s v="» Bill Yr: 2023 Prop Loc: 54 GLEN ST Parcel ID: 9-116-0"/>
    <b v="1"/>
    <s v="Rev"/>
    <n v="0"/>
    <n v="1128.8"/>
    <n v="0"/>
    <n v="1128.8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LI YING LIN"/>
    <s v="1259"/>
    <s v="» Bill Yr: 2023 Prop Loc: 1 CHESTNUT ST Parcel ID: 8-3-0"/>
    <b v="1"/>
    <s v="Rev"/>
    <n v="0"/>
    <n v="1566.41"/>
    <n v="0"/>
    <n v="1566.41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LIFSHATZ STEPHEN +"/>
    <s v="1265"/>
    <s v="» Bill Yr: 2023 Prop Loc: 20 SNOW`S HILL LN Parcel ID: 22-2-D"/>
    <b v="1"/>
    <s v="Rev"/>
    <n v="0"/>
    <n v="10119.85"/>
    <n v="0"/>
    <n v="10119.85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LOBKOWICZ M BROOKS TRUSTEE +"/>
    <s v="1285"/>
    <s v="» Bill Yr: 2023 Prop Loc: DEDHAM ST Parcel ID: 7-13-0"/>
    <b v="1"/>
    <s v="Rev"/>
    <n v="0"/>
    <n v="580.70000000000005"/>
    <n v="0"/>
    <n v="580.70000000000005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MALOOMIAN EVELYN S"/>
    <s v="1361"/>
    <s v="» Bill Yr: 2023 Prop Loc: STRAWBERRY HILL ST Parcel ID: 13-1-A"/>
    <b v="1"/>
    <s v="Rev"/>
    <n v="0"/>
    <n v="117.9"/>
    <n v="0"/>
    <n v="117.9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MCCOY JACQUELINE R TRUSTEE"/>
    <s v="1420"/>
    <s v="» Bill Yr: 2023 Prop Loc: GLEN ST Parcel ID: 9-138-0"/>
    <b v="1"/>
    <s v="Rev"/>
    <n v="0"/>
    <n v="360.21"/>
    <n v="0"/>
    <n v="360.21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MCGINNESS LUCILLE M"/>
    <s v="1436"/>
    <s v="» Bill Yr: 2023 Prop Loc: 7 HAWTHORNE LN 5 Parcel ID: 11-61-05-0"/>
    <b v="1"/>
    <s v="Rev"/>
    <n v="0"/>
    <n v="1075.1600000000001"/>
    <n v="0"/>
    <n v="1075.1600000000001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MCLAUGHLIN MARGARET"/>
    <s v="1738"/>
    <s v="» Bill Yr: 2023 Prop Loc: 3 RIVERSIDE DR Parcel ID: 5-118-0"/>
    <b v="1"/>
    <s v="Rev"/>
    <n v="0"/>
    <n v="740"/>
    <n v="0"/>
    <n v="740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MCVEIGH ANN MARIE TRUSTEE"/>
    <s v="1463"/>
    <s v="» Bill Yr: 2023 Prop Loc: -OFF HARTFORD ST Parcel ID: 24-75-0"/>
    <b v="1"/>
    <s v="Rev"/>
    <n v="0"/>
    <n v="137.1"/>
    <n v="0"/>
    <n v="137.1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NIRMEL KRISHNA"/>
    <s v="1613"/>
    <s v="» Bill Yr: 2023 Prop Loc: 15 MORNINGSIDE DR Parcel ID: 21-13-0"/>
    <b v="1"/>
    <s v="Rev"/>
    <n v="0"/>
    <n v="1299.72"/>
    <n v="0"/>
    <n v="1299.72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OGNIBENE CHARLES A TRUSTEE"/>
    <s v="1638"/>
    <s v="» Bill Yr: 2023 Prop Loc: -OFF WALPOLE ST Parcel ID: 18-126-A"/>
    <b v="1"/>
    <s v="Rev"/>
    <n v="0"/>
    <n v="110.03"/>
    <n v="0"/>
    <n v="110.03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PARADISO SUSAN TRUSTEE +"/>
    <s v="1688"/>
    <s v="» Bill Yr: 2023 Prop Loc: MILLER HILL RD Parcel ID: 16-59-0"/>
    <b v="1"/>
    <s v="Rev"/>
    <n v="0"/>
    <n v="103.31"/>
    <n v="0"/>
    <n v="103.31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PARK YUNG H + CHIKAKO"/>
    <s v="1691"/>
    <s v="» Bill Yr: 2023 Prop Loc: 40 ROLLING LN Parcel ID: 18-103-0"/>
    <b v="1"/>
    <s v="Rev"/>
    <n v="0"/>
    <n v="681.42"/>
    <n v="0"/>
    <n v="681.42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RICHARDSON HENRY S TRUSTEE"/>
    <s v="1814"/>
    <s v="» Bill Yr: 2023 Prop Loc: FARM ST Parcel ID: 15-22-0"/>
    <b v="1"/>
    <s v="Rev"/>
    <n v="0"/>
    <n v="1373.73"/>
    <n v="0"/>
    <n v="1373.73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RODD ELIZABETH A +"/>
    <s v="2018"/>
    <s v="» Bill Yr: 2023 Prop Loc: -OFF HARTFORD ST Parcel ID: 23-93-L"/>
    <b v="1"/>
    <s v="Rev"/>
    <n v="0"/>
    <n v="111.42"/>
    <n v="0"/>
    <n v="111.42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ROGERS WILLIAM P"/>
    <s v="1833"/>
    <s v="» Bill Yr: 2023 Prop Loc: 55 PLEASANT ST Parcel ID: 4-23-0"/>
    <b v="1"/>
    <s v="Rev"/>
    <n v="0"/>
    <n v="7536.58"/>
    <n v="0"/>
    <n v="7536.58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ROLLINS KEVIN B + DEBRA A"/>
    <s v="1835"/>
    <s v="» Bill Yr: 2023 Prop Loc: FARM ST Parcel ID: 10-40-0"/>
    <b v="1"/>
    <s v="Rev"/>
    <n v="0"/>
    <n v="156.5"/>
    <n v="0"/>
    <n v="156.5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RYAN COLLEEN + LOUIS"/>
    <s v="1863"/>
    <s v="» Bill Yr: 2023 Prop Loc: 66 PINE ST Parcel ID: 18-1-E"/>
    <b v="1"/>
    <s v="Rev"/>
    <n v="0"/>
    <n v="279.14999999999998"/>
    <n v="0"/>
    <n v="279.14999999999998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SHALE KEVIN P II +"/>
    <s v="1942"/>
    <s v="» Bill Yr: 2023 Prop Loc: MAIN ST Parcel ID: 5-124-B"/>
    <b v="1"/>
    <s v="Rev"/>
    <n v="0"/>
    <n v="239.85"/>
    <n v="0"/>
    <n v="239.85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SHERIDAN SUZANNE"/>
    <s v="1953"/>
    <s v="» Bill Yr: 2023 Prop Loc: CLAYBROOK RD Parcel ID: 5-5-0"/>
    <b v="1"/>
    <s v="Rev"/>
    <n v="0"/>
    <n v="30.09"/>
    <n v="0"/>
    <n v="30.09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SHERIDAN SUZANNE"/>
    <s v="1955"/>
    <s v="» Bill Yr: 2023 Prop Loc: CLAYBROOK RD Parcel ID: 5-7-A"/>
    <b v="1"/>
    <s v="Rev"/>
    <n v="0"/>
    <n v="122.51"/>
    <n v="0"/>
    <n v="122.51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SHERIDAN SUZANNE"/>
    <s v="1956"/>
    <s v="» Bill Yr: 2023 Prop Loc: CLAYBROOK RD Parcel ID: 5-8-0"/>
    <b v="1"/>
    <s v="Rev"/>
    <n v="0"/>
    <n v="129.08000000000001"/>
    <n v="0"/>
    <n v="129.08000000000001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SULLIVAN IVETA A"/>
    <s v="2067"/>
    <s v="» Bill Yr: 2023 Prop Loc: -OFF HARTFORD ST Parcel ID: 24-147-0"/>
    <b v="1"/>
    <s v="Rev"/>
    <n v="0"/>
    <n v="31.63"/>
    <n v="0"/>
    <n v="31.63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VINIOS JEAN + LOUIS N TRS"/>
    <s v="2201"/>
    <s v="» Bill Yr: 2023 Prop Loc: WILDWOOD RD Parcel ID: 10-5-0"/>
    <b v="1"/>
    <s v="Rev"/>
    <n v="0"/>
    <n v="752.21"/>
    <n v="0"/>
    <n v="752.21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VINIOS JEAN + LOUIS N TRS"/>
    <s v="2200"/>
    <s v="» Bill Yr: 2023 Prop Loc: GLEN ST Parcel ID: 9-142-0"/>
    <b v="1"/>
    <s v="Rev"/>
    <n v="0"/>
    <n v="10964.35"/>
    <n v="0"/>
    <n v="10964.35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VIOLIN JONATHAN D + CHRISTY R"/>
    <s v="1590"/>
    <s v="» Bill Yr: 2023 Prop Loc: MAIN ST Parcel ID: 4-33-0"/>
    <b v="1"/>
    <s v="Rev"/>
    <n v="0"/>
    <n v="101.29"/>
    <n v="0"/>
    <n v="101.29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WANG YU +"/>
    <s v="1569"/>
    <s v="» Bill Yr: 2023 Prop Loc: 2 CIRCLE DR Parcel ID: 5-49-0"/>
    <b v="1"/>
    <s v="Rev"/>
    <n v="0"/>
    <n v="692.39"/>
    <n v="0"/>
    <n v="692.39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WEBB GEORGE P"/>
    <s v="611"/>
    <s v="» Bill Yr: 2023 Prop Loc: 6 HAWTHORNE LN 12 Parcel ID: 11-61-12-0"/>
    <b v="1"/>
    <s v="Rev"/>
    <n v="0"/>
    <n v="1353.09"/>
    <n v="0"/>
    <n v="1353.09"/>
    <s v="01"/>
    <s v="000"/>
    <s v="1210"/>
    <s v="202300"/>
    <s v="0000"/>
  </r>
  <r>
    <x v="0"/>
    <s v="2023 PERSONAL PROPERTY RECEIVABLES"/>
    <n v="0"/>
    <n v="2"/>
    <x v="2"/>
    <s v="Payable6417"/>
    <n v="340"/>
    <s v="49-AP061423"/>
    <n v="6417"/>
    <x v="246"/>
    <s v="49-FY23"/>
    <x v="147"/>
    <s v="klaplant"/>
    <d v="2023-06-14T15:25:25"/>
    <s v="XANDO ENTERPRISES LLC"/>
    <s v="1418"/>
    <s v="» Bill Yr: 2023 Prop Loc: FARM ST Parcel ID: 16-29-A"/>
    <b v="1"/>
    <s v="Rev"/>
    <n v="0"/>
    <n v="273.82"/>
    <n v="0"/>
    <n v="273.82"/>
    <s v="01"/>
    <s v="000"/>
    <s v="1210"/>
    <s v="202300"/>
    <s v="0000"/>
  </r>
  <r>
    <x v="0"/>
    <s v="2023 PERSONAL PROPERTY RECEIVABLES"/>
    <n v="0"/>
    <n v="3"/>
    <x v="0"/>
    <s v="Receivable6427"/>
    <m/>
    <s v=""/>
    <n v="6427"/>
    <x v="247"/>
    <s v="23.04"/>
    <x v="124"/>
    <s v="jmcgovern"/>
    <d v="2023-06-21T09:48:19"/>
    <s v=""/>
    <s v=""/>
    <s v=""/>
    <b v="1"/>
    <s v="Rev"/>
    <n v="0"/>
    <n v="0"/>
    <n v="153257.26"/>
    <n v="-153257.26"/>
    <s v="01"/>
    <s v="000"/>
    <s v="1210"/>
    <s v="202300"/>
    <s v="0000"/>
  </r>
  <r>
    <x v="0"/>
    <s v="2023 PERSONAL PROPERTY RECEIVABLES"/>
    <n v="0"/>
    <n v="3"/>
    <x v="0"/>
    <s v="Receivable6254"/>
    <m/>
    <s v=""/>
    <n v="6254"/>
    <x v="248"/>
    <s v="23.04"/>
    <x v="148"/>
    <s v="jmcgovern"/>
    <d v="2023-06-21T09:49:25"/>
    <s v=""/>
    <s v=""/>
    <s v="CRT Transaction"/>
    <b v="1"/>
    <s v="Rev"/>
    <n v="0"/>
    <n v="0"/>
    <n v="65675.899999999994"/>
    <n v="-65675.899999999994"/>
    <s v="01"/>
    <s v="000"/>
    <s v="1210"/>
    <s v="202300"/>
    <s v="0000"/>
  </r>
  <r>
    <x v="0"/>
    <s v="2023 PERSONAL PROPERTY RECEIVABLES"/>
    <n v="0"/>
    <n v="3"/>
    <x v="0"/>
    <s v="Receivable6253"/>
    <m/>
    <s v=""/>
    <n v="6253"/>
    <x v="249"/>
    <s v="23.04"/>
    <x v="149"/>
    <s v="jmcgovern"/>
    <d v="2023-06-21T09:50:15"/>
    <s v=""/>
    <s v=""/>
    <s v="CRT Transaction"/>
    <b v="1"/>
    <s v="Rev"/>
    <n v="0"/>
    <n v="0"/>
    <n v="44925.89"/>
    <n v="-44925.89"/>
    <s v="01"/>
    <s v="000"/>
    <s v="1210"/>
    <s v="202300"/>
    <s v="0000"/>
  </r>
  <r>
    <x v="0"/>
    <s v="2023 PERSONAL PROPERTY RECEIVABLES"/>
    <n v="0"/>
    <n v="3"/>
    <x v="0"/>
    <s v="Receivable6255"/>
    <m/>
    <s v=""/>
    <n v="6255"/>
    <x v="250"/>
    <s v="23.04"/>
    <x v="150"/>
    <s v="jmcgovern"/>
    <d v="2023-06-21T09:51:15"/>
    <s v=""/>
    <s v=""/>
    <s v="CRT Transaction"/>
    <b v="1"/>
    <s v="Rev"/>
    <n v="0"/>
    <n v="0"/>
    <n v="189124.69"/>
    <n v="-189124.69"/>
    <s v="01"/>
    <s v="000"/>
    <s v="1210"/>
    <s v="202300"/>
    <s v="0000"/>
  </r>
  <r>
    <x v="0"/>
    <s v="2023 PERSONAL PROPERTY RECEIVABLES"/>
    <n v="0"/>
    <n v="3"/>
    <x v="0"/>
    <s v="Receivable6282"/>
    <m/>
    <s v=""/>
    <n v="6282"/>
    <x v="251"/>
    <s v="22.11"/>
    <x v="73"/>
    <s v="jmcgovern"/>
    <d v="2023-06-20T13:23:32"/>
    <s v=""/>
    <s v=""/>
    <s v="CRT Transaction"/>
    <b v="1"/>
    <s v="Rev"/>
    <n v="0"/>
    <n v="0"/>
    <n v="115.49"/>
    <n v="-115.49"/>
    <s v="01"/>
    <s v="000"/>
    <s v="1210"/>
    <s v="202300"/>
    <s v="0000"/>
  </r>
  <r>
    <x v="0"/>
    <s v="2023 PERSONAL PROPERTY RECEIVABLES"/>
    <n v="0"/>
    <n v="3"/>
    <x v="0"/>
    <s v="Receivable6426"/>
    <m/>
    <s v=""/>
    <n v="6426"/>
    <x v="252"/>
    <s v="23.04"/>
    <x v="124"/>
    <s v="jmcgovern"/>
    <d v="2023-06-21T09:55:02"/>
    <s v=""/>
    <s v=""/>
    <s v=""/>
    <b v="1"/>
    <s v="Rev"/>
    <n v="0"/>
    <n v="0"/>
    <n v="125843.24"/>
    <n v="-125843.24"/>
    <s v="01"/>
    <s v="000"/>
    <s v="1210"/>
    <s v="202300"/>
    <s v="0000"/>
  </r>
  <r>
    <x v="0"/>
    <s v="2023 PERSONAL PROPERTY RECEIVABLES"/>
    <n v="0"/>
    <n v="3"/>
    <x v="0"/>
    <s v="Receivable6421"/>
    <m/>
    <s v=""/>
    <n v="6421"/>
    <x v="253"/>
    <s v="23.03"/>
    <x v="145"/>
    <s v="jmcgovern"/>
    <d v="2023-06-21T11:03:59"/>
    <s v=""/>
    <s v=""/>
    <s v=""/>
    <b v="1"/>
    <s v="Rev"/>
    <n v="0"/>
    <n v="0"/>
    <n v="4501.8"/>
    <n v="-4501.8"/>
    <s v="01"/>
    <s v="000"/>
    <s v="1210"/>
    <s v="202300"/>
    <s v="0000"/>
  </r>
  <r>
    <x v="0"/>
    <s v="2023 PERSONAL PROPERTY RECEIVABLES"/>
    <n v="0"/>
    <n v="3"/>
    <x v="0"/>
    <s v="Receivable6212"/>
    <m/>
    <s v=""/>
    <n v="6212"/>
    <x v="254"/>
    <s v="23.04"/>
    <x v="151"/>
    <s v="jmcgovern"/>
    <d v="2023-06-21T11:12:36"/>
    <s v=""/>
    <s v=""/>
    <s v="CRT Transaction"/>
    <b v="1"/>
    <s v="Rev"/>
    <n v="0"/>
    <n v="0"/>
    <n v="102.18"/>
    <n v="-102.18"/>
    <s v="01"/>
    <s v="000"/>
    <s v="1210"/>
    <s v="202300"/>
    <s v="0000"/>
  </r>
  <r>
    <x v="0"/>
    <s v="2023 PERSONAL PROPERTY RECEIVABLES"/>
    <n v="0"/>
    <n v="3"/>
    <x v="0"/>
    <s v="Receivable6212"/>
    <m/>
    <s v=""/>
    <n v="6212"/>
    <x v="254"/>
    <s v="23.04"/>
    <x v="151"/>
    <s v="jmcgovern"/>
    <d v="2023-06-21T11:12:36"/>
    <s v=""/>
    <s v=""/>
    <s v="CRT Transaction"/>
    <b v="1"/>
    <s v="Rev"/>
    <n v="0"/>
    <n v="0"/>
    <n v="82906.789999999994"/>
    <n v="-82906.789999999994"/>
    <s v="01"/>
    <s v="000"/>
    <s v="1210"/>
    <s v="202300"/>
    <s v="0000"/>
  </r>
  <r>
    <x v="0"/>
    <s v="2023 PERSONAL PROPERTY RECEIVABLES"/>
    <n v="0"/>
    <n v="3"/>
    <x v="0"/>
    <s v="Receivable6214"/>
    <m/>
    <s v=""/>
    <n v="6214"/>
    <x v="255"/>
    <s v="23.04"/>
    <x v="152"/>
    <s v="jmcgovern"/>
    <d v="2023-06-21T11:13:45"/>
    <s v=""/>
    <s v=""/>
    <s v="CRT Transaction"/>
    <b v="1"/>
    <s v="Rev"/>
    <n v="0"/>
    <n v="0"/>
    <n v="137533.26999999999"/>
    <n v="-137533.26999999999"/>
    <s v="01"/>
    <s v="000"/>
    <s v="1210"/>
    <s v="202300"/>
    <s v="0000"/>
  </r>
  <r>
    <x v="0"/>
    <s v="2023 PERSONAL PROPERTY RECEIVABLES"/>
    <n v="0"/>
    <n v="3"/>
    <x v="0"/>
    <s v="Receivable6215"/>
    <m/>
    <s v=""/>
    <n v="6215"/>
    <x v="256"/>
    <s v="23.04"/>
    <x v="146"/>
    <s v="jmcgovern"/>
    <d v="2023-06-21T11:13:56"/>
    <s v=""/>
    <s v=""/>
    <s v="CRT Transaction"/>
    <b v="1"/>
    <s v="Rev"/>
    <n v="0"/>
    <n v="0"/>
    <n v="3315.05"/>
    <n v="-3315.05"/>
    <s v="01"/>
    <s v="000"/>
    <s v="1210"/>
    <s v="202300"/>
    <s v="0000"/>
  </r>
  <r>
    <x v="0"/>
    <s v="2023 PERSONAL PROPERTY RECEIVABLES"/>
    <n v="0"/>
    <n v="3"/>
    <x v="0"/>
    <s v="Receivable6215"/>
    <m/>
    <s v=""/>
    <n v="6215"/>
    <x v="256"/>
    <s v="23.04"/>
    <x v="146"/>
    <s v="jmcgovern"/>
    <d v="2023-06-21T11:13:56"/>
    <s v=""/>
    <s v=""/>
    <s v="CRT Transaction"/>
    <b v="1"/>
    <s v="Rev"/>
    <n v="0"/>
    <n v="0"/>
    <n v="108277.4"/>
    <n v="-108277.4"/>
    <s v="01"/>
    <s v="000"/>
    <s v="1210"/>
    <s v="202300"/>
    <s v="0000"/>
  </r>
  <r>
    <x v="0"/>
    <s v="2023 PERSONAL PROPERTY RECEIVABLES"/>
    <n v="0"/>
    <n v="3"/>
    <x v="0"/>
    <s v="Receivable6216"/>
    <m/>
    <s v=""/>
    <n v="6216"/>
    <x v="257"/>
    <s v="23.04"/>
    <x v="122"/>
    <s v="jmcgovern"/>
    <d v="2023-06-21T11:14:50"/>
    <s v=""/>
    <s v=""/>
    <s v="CRT Transaction"/>
    <b v="1"/>
    <s v="Rev"/>
    <n v="0"/>
    <n v="0"/>
    <n v="124801.51"/>
    <n v="-124801.51"/>
    <s v="01"/>
    <s v="000"/>
    <s v="1210"/>
    <s v="202300"/>
    <s v="0000"/>
  </r>
  <r>
    <x v="0"/>
    <s v="2023 PERSONAL PROPERTY RECEIVABLES"/>
    <n v="0"/>
    <n v="3"/>
    <x v="0"/>
    <s v="Receivable6258"/>
    <m/>
    <s v=""/>
    <n v="6258"/>
    <x v="208"/>
    <s v="23.04"/>
    <x v="124"/>
    <s v="jmcgovern"/>
    <d v="2023-06-21T11:19:52"/>
    <s v=""/>
    <s v=""/>
    <s v="CRT Transaction"/>
    <b v="1"/>
    <s v="Rev"/>
    <n v="0"/>
    <n v="0"/>
    <n v="26.24"/>
    <n v="-26.24"/>
    <s v="01"/>
    <s v="000"/>
    <s v="1210"/>
    <s v="202300"/>
    <s v="0000"/>
  </r>
  <r>
    <x v="0"/>
    <s v="2023 PERSONAL PROPERTY RECEIVABLES"/>
    <n v="0"/>
    <n v="3"/>
    <x v="0"/>
    <s v="Receivable6705"/>
    <m/>
    <s v=""/>
    <n v="6705"/>
    <x v="258"/>
    <s v="23.05"/>
    <x v="153"/>
    <s v="jmcgovern"/>
    <d v="2023-09-05T12:38:11"/>
    <s v=""/>
    <s v=""/>
    <s v="CRT Transaction"/>
    <b v="1"/>
    <s v="Rev"/>
    <n v="0"/>
    <n v="0"/>
    <n v="20691.02"/>
    <n v="-20691.02"/>
    <s v="01"/>
    <s v="000"/>
    <s v="1210"/>
    <s v="202300"/>
    <s v="0000"/>
  </r>
  <r>
    <x v="0"/>
    <s v="2023 PERSONAL PROPERTY RECEIVABLES"/>
    <n v="0"/>
    <n v="3"/>
    <x v="0"/>
    <s v="Receivable6719"/>
    <m/>
    <s v=""/>
    <n v="6719"/>
    <x v="259"/>
    <s v="23.05"/>
    <x v="154"/>
    <s v="jmcgovern"/>
    <d v="2023-09-11T12:22:21"/>
    <s v=""/>
    <s v=""/>
    <s v="CRT Transaction"/>
    <b v="1"/>
    <s v="Rev"/>
    <n v="0"/>
    <n v="0"/>
    <n v="464447.5"/>
    <n v="-464447.5"/>
    <s v="01"/>
    <s v="000"/>
    <s v="1210"/>
    <s v="202300"/>
    <s v="0000"/>
  </r>
  <r>
    <x v="0"/>
    <s v="2023 PERSONAL PROPERTY RECEIVABLES"/>
    <n v="0"/>
    <n v="3"/>
    <x v="0"/>
    <s v="Receivable6304"/>
    <m/>
    <s v=""/>
    <n v="6304"/>
    <x v="260"/>
    <s v="23.02 Unipay-FEB"/>
    <x v="144"/>
    <s v="jmcgovern"/>
    <d v="2023-09-12T14:16:42"/>
    <s v=""/>
    <s v=""/>
    <s v="CRT Transaction"/>
    <b v="1"/>
    <s v="Rev"/>
    <n v="0"/>
    <n v="0"/>
    <n v="732872.64"/>
    <n v="-732872.64"/>
    <s v="01"/>
    <s v="000"/>
    <s v="1210"/>
    <s v="202300"/>
    <s v="0000"/>
  </r>
  <r>
    <x v="0"/>
    <s v="2023 PERSONAL PROPERTY RECEIVABLES"/>
    <n v="0"/>
    <n v="3"/>
    <x v="0"/>
    <s v="Receivable6373"/>
    <m/>
    <s v=""/>
    <n v="6373"/>
    <x v="261"/>
    <s v="23.05"/>
    <x v="155"/>
    <s v="jmcgovern"/>
    <d v="2023-09-05T12:40:52"/>
    <s v=""/>
    <s v=""/>
    <s v="CRT Transaction"/>
    <b v="1"/>
    <s v="Rev"/>
    <n v="0"/>
    <n v="0"/>
    <n v="43.44"/>
    <n v="-43.44"/>
    <s v="01"/>
    <s v="000"/>
    <s v="1210"/>
    <s v="202300"/>
    <s v="0000"/>
  </r>
  <r>
    <x v="0"/>
    <s v="2023 PERSONAL PROPERTY RECEIVABLES"/>
    <n v="0"/>
    <n v="3"/>
    <x v="0"/>
    <s v="Receivable6373"/>
    <m/>
    <s v=""/>
    <n v="6373"/>
    <x v="261"/>
    <s v="23.05"/>
    <x v="155"/>
    <s v="jmcgovern"/>
    <d v="2023-09-05T12:40:52"/>
    <s v=""/>
    <s v=""/>
    <s v="CRT Transaction"/>
    <b v="1"/>
    <s v="Rev"/>
    <n v="0"/>
    <n v="0"/>
    <n v="30362.38"/>
    <n v="-30362.38"/>
    <s v="01"/>
    <s v="000"/>
    <s v="1210"/>
    <s v="202300"/>
    <s v="0000"/>
  </r>
  <r>
    <x v="0"/>
    <s v="2023 PERSONAL PROPERTY RECEIVABLES"/>
    <n v="0"/>
    <n v="3"/>
    <x v="0"/>
    <s v="Receivable6720"/>
    <m/>
    <s v=""/>
    <n v="6720"/>
    <x v="262"/>
    <s v="23.06"/>
    <x v="0"/>
    <s v="jmcgovern"/>
    <d v="2023-09-11T12:35:35"/>
    <s v=""/>
    <s v=""/>
    <s v="CRT Transaction"/>
    <b v="1"/>
    <s v="Rev"/>
    <n v="0"/>
    <n v="0"/>
    <n v="165.89"/>
    <n v="-165.89"/>
    <s v="01"/>
    <s v="000"/>
    <s v="1210"/>
    <s v="202300"/>
    <s v="0000"/>
  </r>
  <r>
    <x v="0"/>
    <s v="2023 PERSONAL PROPERTY RECEIVABLES"/>
    <n v="0"/>
    <n v="3"/>
    <x v="0"/>
    <s v="Receivable6720"/>
    <m/>
    <s v=""/>
    <n v="6720"/>
    <x v="262"/>
    <s v="23.06"/>
    <x v="0"/>
    <s v="jmcgovern"/>
    <d v="2023-09-11T12:35:35"/>
    <s v=""/>
    <s v=""/>
    <s v="CRT Transaction"/>
    <b v="1"/>
    <s v="Rev"/>
    <n v="0"/>
    <n v="0"/>
    <n v="3568.16"/>
    <n v="-3568.16"/>
    <s v="01"/>
    <s v="000"/>
    <s v="1210"/>
    <s v="202300"/>
    <s v="0000"/>
  </r>
  <r>
    <x v="0"/>
    <s v="2023 PERSONAL PROPERTY RECEIVABLES"/>
    <n v="0"/>
    <n v="3"/>
    <x v="0"/>
    <s v="Receivable6737"/>
    <m/>
    <s v=""/>
    <n v="6737"/>
    <x v="263"/>
    <s v="23.06"/>
    <x v="156"/>
    <s v="jmcgovern"/>
    <d v="2023-09-12T10:41:45"/>
    <s v=""/>
    <s v=""/>
    <s v="CRT Transaction"/>
    <b v="1"/>
    <s v="Rev"/>
    <n v="0"/>
    <n v="0"/>
    <n v="21809.09"/>
    <n v="-21809.09"/>
    <s v="01"/>
    <s v="000"/>
    <s v="1210"/>
    <s v="202300"/>
    <s v="0000"/>
  </r>
  <r>
    <x v="0"/>
    <s v="2023 PERSONAL PROPERTY RECEIVABLES"/>
    <n v="0"/>
    <n v="3"/>
    <x v="0"/>
    <s v="Receivable6474"/>
    <m/>
    <s v=""/>
    <n v="6474"/>
    <x v="264"/>
    <s v="23.06"/>
    <x v="157"/>
    <s v="jmcgovern"/>
    <d v="2023-09-18T09:31:00"/>
    <s v=""/>
    <s v=""/>
    <s v="CRT Transaction"/>
    <b v="1"/>
    <s v="Rev"/>
    <n v="0"/>
    <n v="0"/>
    <n v="176.71"/>
    <n v="-176.71"/>
    <s v="01"/>
    <s v="000"/>
    <s v="1210"/>
    <s v="202300"/>
    <s v="0000"/>
  </r>
  <r>
    <x v="0"/>
    <s v="2023 PERSONAL PROPERTY RECEIVABLES"/>
    <n v="0"/>
    <n v="3"/>
    <x v="0"/>
    <s v="Receivable6474"/>
    <m/>
    <s v=""/>
    <n v="6474"/>
    <x v="264"/>
    <s v="23.06"/>
    <x v="157"/>
    <s v="jmcgovern"/>
    <d v="2023-09-18T09:31:00"/>
    <s v=""/>
    <s v=""/>
    <s v="CRT Transaction"/>
    <b v="1"/>
    <s v="Rev"/>
    <n v="0"/>
    <n v="0"/>
    <n v="52369.04"/>
    <n v="-52369.04"/>
    <s v="01"/>
    <s v="000"/>
    <s v="1210"/>
    <s v="202300"/>
    <s v="0000"/>
  </r>
  <r>
    <x v="0"/>
    <s v="2023 PERSONAL PROPERTY RECEIVABLES"/>
    <n v="0"/>
    <n v="3"/>
    <x v="0"/>
    <s v="Receivable6263"/>
    <m/>
    <s v=""/>
    <n v="6263"/>
    <x v="265"/>
    <s v="23.04"/>
    <x v="131"/>
    <s v="jmcgovern"/>
    <d v="2023-09-05T12:44:54"/>
    <s v=""/>
    <s v=""/>
    <s v="CRT Transaction"/>
    <b v="1"/>
    <s v="Rev"/>
    <n v="0"/>
    <n v="0"/>
    <n v="567.12"/>
    <n v="-567.12"/>
    <s v="01"/>
    <s v="000"/>
    <s v="1210"/>
    <s v="202300"/>
    <s v="0000"/>
  </r>
  <r>
    <x v="0"/>
    <s v="2023 PERSONAL PROPERTY RECEIVABLES"/>
    <n v="0"/>
    <n v="3"/>
    <x v="0"/>
    <s v="Receivable6263"/>
    <m/>
    <s v=""/>
    <n v="6263"/>
    <x v="265"/>
    <s v="23.04"/>
    <x v="131"/>
    <s v="jmcgovern"/>
    <d v="2023-09-05T12:44:54"/>
    <s v=""/>
    <s v=""/>
    <s v="CRT Transaction"/>
    <b v="1"/>
    <s v="Rev"/>
    <n v="0"/>
    <n v="0"/>
    <n v="74206.83"/>
    <n v="-74206.83"/>
    <s v="01"/>
    <s v="000"/>
    <s v="1210"/>
    <s v="202300"/>
    <s v="0000"/>
  </r>
  <r>
    <x v="0"/>
    <s v="2023 PERSONAL PROPERTY RECEIVABLES"/>
    <n v="0"/>
    <n v="3"/>
    <x v="0"/>
    <s v="Receivable6509"/>
    <m/>
    <s v=""/>
    <n v="6509"/>
    <x v="266"/>
    <s v="23.06"/>
    <x v="0"/>
    <s v="jmcgovern"/>
    <d v="2023-09-18T15:46:12"/>
    <s v=""/>
    <s v=""/>
    <s v="CRT Transaction"/>
    <b v="1"/>
    <s v="Rev"/>
    <n v="0"/>
    <n v="0"/>
    <n v="539.15"/>
    <n v="-539.15"/>
    <s v="01"/>
    <s v="000"/>
    <s v="1210"/>
    <s v="202300"/>
    <s v="0000"/>
  </r>
  <r>
    <x v="0"/>
    <s v="2023 PERSONAL PROPERTY RECEIVABLES"/>
    <n v="0"/>
    <n v="3"/>
    <x v="0"/>
    <s v="Receivable6509"/>
    <m/>
    <s v=""/>
    <n v="6509"/>
    <x v="266"/>
    <s v="23.06"/>
    <x v="0"/>
    <s v="jmcgovern"/>
    <d v="2023-09-18T15:46:12"/>
    <s v=""/>
    <s v=""/>
    <s v="CRT Transaction"/>
    <b v="1"/>
    <s v="Rev"/>
    <n v="0"/>
    <n v="0"/>
    <n v="151507.71"/>
    <n v="-151507.71"/>
    <s v="01"/>
    <s v="000"/>
    <s v="1210"/>
    <s v="202300"/>
    <s v="0000"/>
  </r>
  <r>
    <x v="0"/>
    <s v="2023 PERSONAL PROPERTY RECEIVABLES"/>
    <n v="0"/>
    <n v="3"/>
    <x v="0"/>
    <s v="Receivable6866"/>
    <m/>
    <s v=""/>
    <n v="6866"/>
    <x v="267"/>
    <s v="23.06"/>
    <x v="0"/>
    <s v="jmcgovern"/>
    <d v="2023-10-19T12:19:55"/>
    <s v=""/>
    <s v=""/>
    <s v="CRT Transaction"/>
    <b v="1"/>
    <s v="Rev"/>
    <n v="0"/>
    <n v="0"/>
    <n v="36119.82"/>
    <n v="-36119.82"/>
    <s v="01"/>
    <s v="000"/>
    <s v="1210"/>
    <s v="202300"/>
    <s v="0000"/>
  </r>
  <r>
    <x v="0"/>
    <s v="2023 PERSONAL PROPERTY RECEIVABLES"/>
    <n v="0"/>
    <n v="3"/>
    <x v="0"/>
    <s v="Receivable6179"/>
    <m/>
    <s v=""/>
    <n v="6179"/>
    <x v="268"/>
    <s v="23.04"/>
    <x v="145"/>
    <s v="jmcgovern"/>
    <d v="2023-06-21T09:27:24"/>
    <s v=""/>
    <s v=""/>
    <s v="CRT Transaction"/>
    <b v="1"/>
    <s v="Rev"/>
    <n v="0"/>
    <n v="0"/>
    <n v="12704.29"/>
    <n v="-12704.29"/>
    <s v="01"/>
    <s v="000"/>
    <s v="1210"/>
    <s v="202300"/>
    <s v="0000"/>
  </r>
  <r>
    <x v="0"/>
    <s v="2023 PERSONAL PROPERTY RECEIVABLES"/>
    <n v="0"/>
    <n v="3"/>
    <x v="0"/>
    <s v="Receivable6184"/>
    <m/>
    <s v=""/>
    <n v="6184"/>
    <x v="269"/>
    <s v="23.04"/>
    <x v="145"/>
    <s v="jmcgovern"/>
    <d v="2023-06-21T09:29:50"/>
    <s v=""/>
    <s v=""/>
    <s v="CRT Transaction"/>
    <b v="1"/>
    <s v="Rev"/>
    <n v="0"/>
    <n v="0"/>
    <n v="117.33"/>
    <n v="-117.33"/>
    <s v="01"/>
    <s v="000"/>
    <s v="1210"/>
    <s v="202300"/>
    <s v="0000"/>
  </r>
  <r>
    <x v="0"/>
    <s v="2023 PERSONAL PROPERTY RECEIVABLES"/>
    <n v="0"/>
    <n v="3"/>
    <x v="0"/>
    <s v="Receivable6184"/>
    <m/>
    <s v=""/>
    <n v="6184"/>
    <x v="269"/>
    <s v="23.04"/>
    <x v="145"/>
    <s v="jmcgovern"/>
    <d v="2023-06-21T09:29:50"/>
    <s v=""/>
    <s v=""/>
    <s v="CRT Transaction"/>
    <b v="1"/>
    <s v="Rev"/>
    <n v="0"/>
    <n v="0"/>
    <n v="156204.39000000001"/>
    <n v="-156204.39000000001"/>
    <s v="01"/>
    <s v="000"/>
    <s v="1210"/>
    <s v="202300"/>
    <s v="0000"/>
  </r>
  <r>
    <x v="0"/>
    <s v="2023 PERSONAL PROPERTY RECEIVABLES"/>
    <n v="0"/>
    <n v="3"/>
    <x v="0"/>
    <s v="Receivable6190"/>
    <m/>
    <s v=""/>
    <n v="6190"/>
    <x v="270"/>
    <s v="23.04"/>
    <x v="158"/>
    <s v="jmcgovern"/>
    <d v="2023-06-21T09:30:17"/>
    <s v=""/>
    <s v=""/>
    <s v="CRT Transaction"/>
    <b v="1"/>
    <s v="Rev"/>
    <n v="0"/>
    <n v="0"/>
    <n v="52079.28"/>
    <n v="-52079.28"/>
    <s v="01"/>
    <s v="000"/>
    <s v="1210"/>
    <s v="202300"/>
    <s v="0000"/>
  </r>
  <r>
    <x v="0"/>
    <s v="2023 PERSONAL PROPERTY RECEIVABLES"/>
    <n v="0"/>
    <n v="3"/>
    <x v="0"/>
    <s v="Receivable6198"/>
    <m/>
    <s v=""/>
    <n v="6198"/>
    <x v="271"/>
    <s v="23.04"/>
    <x v="159"/>
    <s v="jmcgovern"/>
    <d v="2023-06-21T09:30:51"/>
    <s v=""/>
    <s v=""/>
    <s v="CRT Transaction"/>
    <b v="1"/>
    <s v="Rev"/>
    <n v="0"/>
    <n v="0"/>
    <n v="164301.73000000001"/>
    <n v="-164301.73000000001"/>
    <s v="01"/>
    <s v="000"/>
    <s v="1210"/>
    <s v="202300"/>
    <s v="0000"/>
  </r>
  <r>
    <x v="0"/>
    <s v="2023 PERSONAL PROPERTY RECEIVABLES"/>
    <n v="0"/>
    <n v="1"/>
    <x v="3"/>
    <s v="Journal Entry7417"/>
    <m/>
    <s v=""/>
    <n v="7417"/>
    <x v="272"/>
    <s v="J23-111"/>
    <x v="160"/>
    <s v="klaplant"/>
    <d v="2024-03-17T18:20:24"/>
    <s v="J23-111"/>
    <s v="635"/>
    <s v="TO FIX DUPLICATION ERROR DE TO ACCOUNT SETUP"/>
    <b v="0"/>
    <s v=""/>
    <n v="0"/>
    <n v="5044128.58"/>
    <n v="0"/>
    <n v="5044128.58"/>
    <s v="01"/>
    <s v="000"/>
    <s v="1210"/>
    <s v="202300"/>
    <s v="0000"/>
  </r>
  <r>
    <x v="0"/>
    <s v="2023 PERSONAL PROPERTY RECEIVABLES"/>
    <n v="0"/>
    <n v="1"/>
    <x v="3"/>
    <s v="Journal Entry7418"/>
    <m/>
    <s v=""/>
    <n v="7418"/>
    <x v="273"/>
    <s v="J23-112"/>
    <x v="161"/>
    <s v="klaplant"/>
    <d v="2024-03-17T18:28:38"/>
    <s v="J23-112"/>
    <s v="636"/>
    <s v="TO FIX DUPLICATION DUE TO ACCOUNT SETUP"/>
    <b v="0"/>
    <s v=""/>
    <n v="0"/>
    <n v="264534.03999999998"/>
    <n v="0"/>
    <n v="264534.03999999998"/>
    <s v="01"/>
    <s v="000"/>
    <s v="1210"/>
    <s v="202300"/>
    <s v="0000"/>
  </r>
  <r>
    <x v="0"/>
    <s v="2023 PERSONAL PROPERTY RECEIVABLES"/>
    <n v="0"/>
    <n v="1"/>
    <x v="3"/>
    <s v="Journal Entry7419"/>
    <m/>
    <s v=""/>
    <n v="7419"/>
    <x v="274"/>
    <s v="J23-113"/>
    <x v="115"/>
    <s v="klaplant"/>
    <d v="2024-03-17T18:31:38"/>
    <s v="J23-113"/>
    <s v="637"/>
    <s v="FIX DUPLICATION ERROR DUE TO ACCOUNT ERROR"/>
    <b v="0"/>
    <s v=""/>
    <n v="0"/>
    <n v="3923275.95"/>
    <n v="0"/>
    <n v="3923275.95"/>
    <s v="01"/>
    <s v="000"/>
    <s v="1210"/>
    <s v="202300"/>
    <s v="0000"/>
  </r>
  <r>
    <x v="0"/>
    <s v="2023 PERSONAL PROPERTY RECEIVABLES"/>
    <n v="0"/>
    <n v="1"/>
    <x v="3"/>
    <s v="Journal Entry7420"/>
    <m/>
    <s v=""/>
    <n v="7420"/>
    <x v="275"/>
    <s v="J23-114"/>
    <x v="144"/>
    <s v="klaplant"/>
    <d v="2024-03-17T18:36:38"/>
    <s v="J23-114"/>
    <s v="638"/>
    <s v="TO FIX DUPLICATION ERROR DUE TO ACCOUNT SETUP"/>
    <b v="0"/>
    <s v=""/>
    <n v="0"/>
    <n v="4628073.99"/>
    <n v="0"/>
    <n v="4628073.99"/>
    <s v="01"/>
    <s v="000"/>
    <s v="1210"/>
    <s v="202300"/>
    <s v="0000"/>
  </r>
  <r>
    <x v="0"/>
    <s v="2023 PERSONAL PROPERTY RECEIVABLES"/>
    <n v="0"/>
    <n v="1"/>
    <x v="3"/>
    <s v="Journal Entry7421"/>
    <m/>
    <s v=""/>
    <n v="7421"/>
    <x v="276"/>
    <s v="J23-115"/>
    <x v="162"/>
    <s v="klaplant"/>
    <d v="2024-03-17T18:54:45"/>
    <s v="J23-115"/>
    <s v="639"/>
    <s v="TO FIX DUPLICATION ERROR DUE TO ACCOUNT SETUP"/>
    <b v="0"/>
    <s v=""/>
    <n v="0"/>
    <n v="160015.13"/>
    <n v="0"/>
    <n v="160015.13"/>
    <s v="01"/>
    <s v="000"/>
    <s v="1210"/>
    <s v="202300"/>
    <s v="0000"/>
  </r>
  <r>
    <x v="0"/>
    <s v="2023 PERSONAL PROPERTY RECEIVABLES"/>
    <n v="0"/>
    <n v="1"/>
    <x v="3"/>
    <s v="Journal Entry7422"/>
    <m/>
    <s v=""/>
    <n v="7422"/>
    <x v="277"/>
    <s v="J23-116"/>
    <x v="131"/>
    <s v="klaplant"/>
    <d v="2024-03-17T19:03:25"/>
    <s v="J23-116"/>
    <s v="641"/>
    <s v="TO FIX DUPLICATION ERROR DUE TO ACCOUNT SETUP"/>
    <b v="0"/>
    <s v=""/>
    <n v="0"/>
    <n v="6549260.2999999998"/>
    <n v="0"/>
    <n v="6549260.2999999998"/>
    <s v="01"/>
    <s v="000"/>
    <s v="1210"/>
    <s v="202300"/>
    <s v="0000"/>
  </r>
  <r>
    <x v="0"/>
    <s v="2023 PERSONAL PROPERTY RECEIVABLES"/>
    <n v="0"/>
    <n v="1"/>
    <x v="3"/>
    <s v="Journal Entry7423"/>
    <m/>
    <s v=""/>
    <n v="7423"/>
    <x v="278"/>
    <s v="J23-117"/>
    <x v="154"/>
    <s v="klaplant"/>
    <d v="2024-03-17T19:20:21"/>
    <s v="J23-117"/>
    <s v="642"/>
    <s v="TO FIX DUPLICATION ERROR DUE TO ACCOUNT SETUP"/>
    <b v="0"/>
    <s v=""/>
    <n v="0"/>
    <n v="1974291.27"/>
    <n v="0"/>
    <n v="1974291.27"/>
    <s v="01"/>
    <s v="000"/>
    <s v="1210"/>
    <s v="202300"/>
    <s v="0000"/>
  </r>
  <r>
    <x v="0"/>
    <s v="2023 PERSONAL PROPERTY RECEIVABLES"/>
    <n v="0"/>
    <n v="1"/>
    <x v="3"/>
    <s v="Journal Entry7424"/>
    <m/>
    <s v=""/>
    <n v="7424"/>
    <x v="279"/>
    <s v="J23-118"/>
    <x v="0"/>
    <s v="klaplant"/>
    <d v="2024-03-17T19:29:31"/>
    <s v="J23-118"/>
    <s v="643"/>
    <s v="TO FIX DUPLICATION ERROR DUE TO ACCOUNT SETUP"/>
    <b v="0"/>
    <s v=""/>
    <n v="0"/>
    <n v="231050.26"/>
    <n v="0"/>
    <n v="231050.26"/>
    <s v="01"/>
    <s v="000"/>
    <s v="1210"/>
    <s v="202300"/>
    <s v="0000"/>
  </r>
  <r>
    <x v="0"/>
    <s v="2023 PERSONAL PROPERTY RECEIVABLES"/>
    <n v="0"/>
    <n v="1"/>
    <x v="1"/>
    <s v="Journal Entry7411"/>
    <m/>
    <s v=""/>
    <n v="7411"/>
    <x v="280"/>
    <s v="2023 PROP TAX COMMIT"/>
    <x v="163"/>
    <s v="klaplant"/>
    <d v="2024-03-15T11:07:14"/>
    <s v="J23-105"/>
    <s v="629"/>
    <s v="2023 ACTUAL PROPERTY TAX COMMITMENT"/>
    <b v="0"/>
    <s v=""/>
    <n v="0"/>
    <n v="760374.52"/>
    <n v="0"/>
    <n v="760374.52"/>
    <s v="01"/>
    <s v="000"/>
    <s v="1210"/>
    <s v="202300"/>
    <s v="0000"/>
  </r>
  <r>
    <x v="0"/>
    <s v="2023 PERSONAL PROPERTY RECEIVABLES"/>
    <n v="0"/>
    <n v="1"/>
    <x v="3"/>
    <s v="Journal Entry7412"/>
    <m/>
    <s v=""/>
    <n v="7412"/>
    <x v="281"/>
    <s v="JULY 2022 PP CORRECTION"/>
    <x v="32"/>
    <s v="klaplant"/>
    <d v="2024-03-15T13:16:06"/>
    <s v="J23-106"/>
    <s v="630"/>
    <s v="TO FIX ERROR IN POSTING DUE TO SETUP"/>
    <b v="0"/>
    <s v=""/>
    <n v="0"/>
    <n v="5991703.2300000004"/>
    <n v="0"/>
    <n v="5991703.2300000004"/>
    <s v="01"/>
    <s v="000"/>
    <s v="1210"/>
    <s v="202300"/>
    <s v="0000"/>
  </r>
  <r>
    <x v="0"/>
    <s v="2023 PERSONAL PROPERTY RECEIVABLES"/>
    <n v="0"/>
    <n v="1"/>
    <x v="3"/>
    <s v="Journal Entry7413"/>
    <m/>
    <s v=""/>
    <n v="7413"/>
    <x v="282"/>
    <s v="(2) JULY 2022 PP RECEIVABLE"/>
    <x v="32"/>
    <s v="klaplant"/>
    <d v="2024-03-15T14:36:40"/>
    <s v="J23-107"/>
    <s v="631"/>
    <s v="TO FIX ADDITIONAL ERROR IN POSTING DUE TO SETUP"/>
    <b v="0"/>
    <s v=""/>
    <n v="0"/>
    <n v="0"/>
    <n v="7242.89"/>
    <n v="-7242.89"/>
    <s v="01"/>
    <s v="000"/>
    <s v="1210"/>
    <s v="202300"/>
    <s v="0000"/>
  </r>
  <r>
    <x v="0"/>
    <s v="2023 PERSONAL PROPERTY RECEIVABLES"/>
    <n v="0"/>
    <n v="1"/>
    <x v="3"/>
    <s v="Journal Entry7414"/>
    <m/>
    <s v=""/>
    <n v="7414"/>
    <x v="283"/>
    <s v="J23-108"/>
    <x v="164"/>
    <s v="klaplant"/>
    <d v="2024-03-17T18:06:16"/>
    <s v="J23-108"/>
    <s v="632"/>
    <s v="TO FIX DUPLICATION ERROR DUE TO ACCOUNT SET UP ERROR"/>
    <b v="0"/>
    <s v=""/>
    <n v="0"/>
    <n v="2500348.9500000002"/>
    <n v="0"/>
    <n v="2500348.9500000002"/>
    <s v="01"/>
    <s v="000"/>
    <s v="1210"/>
    <s v="202300"/>
    <s v="0000"/>
  </r>
  <r>
    <x v="0"/>
    <s v="2023 PERSONAL PROPERTY RECEIVABLES"/>
    <n v="0"/>
    <n v="1"/>
    <x v="3"/>
    <s v="Journal Entry7415"/>
    <m/>
    <s v=""/>
    <n v="7415"/>
    <x v="284"/>
    <s v="J23-109"/>
    <x v="165"/>
    <s v="klaplant"/>
    <d v="2024-03-17T18:08:41"/>
    <s v="J23-109"/>
    <s v="633"/>
    <s v="TO FIX DUPLICATION ERROR DUE TO ACCOUNT SETUP"/>
    <b v="0"/>
    <s v=""/>
    <n v="0"/>
    <n v="385122.81"/>
    <n v="0"/>
    <n v="385122.81"/>
    <s v="01"/>
    <s v="000"/>
    <s v="1210"/>
    <s v="202300"/>
    <s v="0000"/>
  </r>
  <r>
    <x v="0"/>
    <s v="2023 PERSONAL PROPERTY RECEIVABLES"/>
    <n v="0"/>
    <n v="1"/>
    <x v="3"/>
    <s v="Journal Entry7416"/>
    <m/>
    <s v=""/>
    <n v="7416"/>
    <x v="285"/>
    <s v="J23-110"/>
    <x v="54"/>
    <s v="klaplant"/>
    <d v="2024-03-17T18:15:36"/>
    <s v="J23-110"/>
    <s v="634"/>
    <s v="TO FIX DUPLICATION ERROR DUE TO ACCOUNT SETUP"/>
    <b v="0"/>
    <s v=""/>
    <n v="0"/>
    <n v="3017966.31"/>
    <n v="0"/>
    <n v="3017966.31"/>
    <s v="01"/>
    <s v="000"/>
    <s v="1210"/>
    <s v="202300"/>
    <s v="0000"/>
  </r>
  <r>
    <x v="1"/>
    <s v="2023 REAL ESTATE TAX RECEIVABLE"/>
    <n v="0"/>
    <n v="3"/>
    <x v="0"/>
    <s v="Receivable6577"/>
    <m/>
    <s v=""/>
    <n v="6577"/>
    <x v="0"/>
    <s v="23.06"/>
    <x v="0"/>
    <s v="jmcgovern"/>
    <d v="2023-09-26T15:33:20"/>
    <s v=""/>
    <s v=""/>
    <s v="CRT Transaction"/>
    <b v="1"/>
    <s v="Rev"/>
    <n v="0"/>
    <n v="0"/>
    <n v="28831.43"/>
    <n v="-28831.43"/>
    <s v="01"/>
    <s v="000"/>
    <s v="1220"/>
    <s v="202300"/>
    <s v="0000"/>
  </r>
  <r>
    <x v="1"/>
    <s v="2023 REAL ESTATE TAX RECEIVABLE"/>
    <n v="0"/>
    <n v="1"/>
    <x v="1"/>
    <s v="Journal Entry7035"/>
    <m/>
    <s v=""/>
    <n v="7035"/>
    <x v="1"/>
    <s v="J23-91"/>
    <x v="162"/>
    <s v="klaplant"/>
    <d v="2023-11-20T15:00:47"/>
    <s v="J23-91"/>
    <s v="615"/>
    <s v="MARCH 2023 RE ABATEMENTS"/>
    <b v="0"/>
    <s v=""/>
    <n v="0"/>
    <n v="0"/>
    <n v="51462.86"/>
    <n v="-51462.86"/>
    <s v="01"/>
    <s v="000"/>
    <s v="1220"/>
    <s v="202300"/>
    <s v="0000"/>
  </r>
  <r>
    <x v="1"/>
    <s v="2023 REAL ESTATE TAX RECEIVABLE"/>
    <n v="0"/>
    <n v="1"/>
    <x v="1"/>
    <s v="Journal Entry7036"/>
    <m/>
    <s v=""/>
    <n v="7036"/>
    <x v="1"/>
    <s v="J23-92"/>
    <x v="154"/>
    <s v="klaplant"/>
    <d v="2023-11-20T15:02:21"/>
    <s v="J23-92"/>
    <s v="616"/>
    <s v="MAY 2023 RE ABATEMENTS"/>
    <b v="0"/>
    <s v=""/>
    <n v="0"/>
    <n v="0"/>
    <n v="740"/>
    <n v="-740"/>
    <s v="01"/>
    <s v="000"/>
    <s v="1220"/>
    <s v="202300"/>
    <s v="0000"/>
  </r>
  <r>
    <x v="1"/>
    <s v="2023 REAL ESTATE TAX RECEIVABLE"/>
    <n v="0"/>
    <n v="1"/>
    <x v="1"/>
    <s v="Journal Entry7033"/>
    <m/>
    <s v=""/>
    <n v="7033"/>
    <x v="1"/>
    <s v="J23-89"/>
    <x v="115"/>
    <s v="klaplant"/>
    <d v="2023-11-20T14:53:39"/>
    <s v="J23-89"/>
    <s v="613"/>
    <s v="JANUARY 2023 RE ABATEMENT"/>
    <b v="0"/>
    <s v=""/>
    <n v="0"/>
    <n v="0"/>
    <n v="6383.53"/>
    <n v="-6383.53"/>
    <s v="01"/>
    <s v="000"/>
    <s v="1220"/>
    <s v="202300"/>
    <s v="0000"/>
  </r>
  <r>
    <x v="1"/>
    <s v="2023 REAL ESTATE TAX RECEIVABLE"/>
    <n v="0"/>
    <n v="1"/>
    <x v="1"/>
    <s v="Journal Entry7034"/>
    <m/>
    <s v=""/>
    <n v="7034"/>
    <x v="1"/>
    <s v="J23-90"/>
    <x v="144"/>
    <s v="klaplant"/>
    <d v="2023-11-20T14:55:56"/>
    <s v="J23-90"/>
    <s v="614"/>
    <s v="FEBRUARY 2023 RE ABATEMENTS"/>
    <b v="0"/>
    <s v=""/>
    <n v="0"/>
    <n v="0"/>
    <n v="18065.810000000001"/>
    <n v="-18065.810000000001"/>
    <s v="01"/>
    <s v="000"/>
    <s v="1220"/>
    <s v="202300"/>
    <s v="0000"/>
  </r>
  <r>
    <x v="1"/>
    <s v="2023 REAL ESTATE TAX RECEIVABLE"/>
    <n v="0"/>
    <n v="3"/>
    <x v="0"/>
    <s v="Receivable5220"/>
    <m/>
    <s v=""/>
    <n v="5220"/>
    <x v="2"/>
    <s v="22.07"/>
    <x v="2"/>
    <s v="jmcgovern"/>
    <d v="2022-11-01T16:39:36"/>
    <s v=""/>
    <s v=""/>
    <s v="CRT Transaction"/>
    <b v="1"/>
    <s v="Rev"/>
    <n v="0"/>
    <n v="0"/>
    <n v="30947.22"/>
    <n v="-30947.22"/>
    <s v="01"/>
    <s v="000"/>
    <s v="1220"/>
    <s v="202300"/>
    <s v="0000"/>
  </r>
  <r>
    <x v="1"/>
    <s v="2023 REAL ESTATE TAX RECEIVABLE"/>
    <n v="0"/>
    <n v="3"/>
    <x v="0"/>
    <s v="Receivable5221"/>
    <m/>
    <s v=""/>
    <n v="5221"/>
    <x v="3"/>
    <s v="22.07"/>
    <x v="3"/>
    <s v="jmcgovern"/>
    <d v="2022-11-02T09:50:26"/>
    <s v=""/>
    <s v=""/>
    <s v="CRT Transaction"/>
    <b v="1"/>
    <s v="Rev"/>
    <n v="0"/>
    <n v="0"/>
    <n v="17262.28"/>
    <n v="-17262.28"/>
    <s v="01"/>
    <s v="000"/>
    <s v="1220"/>
    <s v="202300"/>
    <s v="0000"/>
  </r>
  <r>
    <x v="1"/>
    <s v="2023 REAL ESTATE TAX RECEIVABLE"/>
    <n v="0"/>
    <n v="3"/>
    <x v="0"/>
    <s v="Receivable5222"/>
    <m/>
    <s v=""/>
    <n v="5222"/>
    <x v="4"/>
    <s v="22.07"/>
    <x v="2"/>
    <s v="jmcgovern"/>
    <d v="2022-11-02T09:54:17"/>
    <s v=""/>
    <s v=""/>
    <s v="CRT Transaction"/>
    <b v="1"/>
    <s v="Rev"/>
    <n v="0"/>
    <n v="0"/>
    <n v="10197.11"/>
    <n v="-10197.11"/>
    <s v="01"/>
    <s v="000"/>
    <s v="1220"/>
    <s v="202300"/>
    <s v="0000"/>
  </r>
  <r>
    <x v="1"/>
    <s v="2023 REAL ESTATE TAX RECEIVABLE"/>
    <n v="0"/>
    <n v="3"/>
    <x v="0"/>
    <s v="Receivable5223"/>
    <m/>
    <s v=""/>
    <n v="5223"/>
    <x v="5"/>
    <s v="22.07"/>
    <x v="2"/>
    <s v="jmcgovern"/>
    <d v="2022-11-02T09:57:38"/>
    <s v=""/>
    <s v=""/>
    <s v="CRT Transaction"/>
    <b v="1"/>
    <s v="Rev"/>
    <n v="0"/>
    <n v="0"/>
    <n v="123203.87"/>
    <n v="-123203.87"/>
    <s v="01"/>
    <s v="000"/>
    <s v="1220"/>
    <s v="202300"/>
    <s v="0000"/>
  </r>
  <r>
    <x v="1"/>
    <s v="2023 REAL ESTATE TAX RECEIVABLE"/>
    <n v="0"/>
    <n v="3"/>
    <x v="0"/>
    <s v="Receivable5224"/>
    <m/>
    <s v=""/>
    <n v="5224"/>
    <x v="6"/>
    <s v="22.07"/>
    <x v="2"/>
    <s v="jmcgovern"/>
    <d v="2022-11-02T10:02:18"/>
    <s v=""/>
    <s v=""/>
    <s v="CRT Transaction"/>
    <b v="1"/>
    <s v="Rev"/>
    <n v="0"/>
    <n v="0"/>
    <n v="93589.52"/>
    <n v="-93589.52"/>
    <s v="01"/>
    <s v="000"/>
    <s v="1220"/>
    <s v="202300"/>
    <s v="0000"/>
  </r>
  <r>
    <x v="1"/>
    <s v="2023 REAL ESTATE TAX RECEIVABLE"/>
    <n v="0"/>
    <n v="3"/>
    <x v="0"/>
    <s v="Receivable5225"/>
    <m/>
    <s v=""/>
    <n v="5225"/>
    <x v="7"/>
    <s v="22.07"/>
    <x v="2"/>
    <s v="jmcgovern"/>
    <d v="2022-11-02T10:07:06"/>
    <s v=""/>
    <s v=""/>
    <s v="CRT Transaction"/>
    <b v="1"/>
    <s v="Rev"/>
    <n v="0"/>
    <n v="0"/>
    <n v="42026.080000000002"/>
    <n v="-42026.080000000002"/>
    <s v="01"/>
    <s v="000"/>
    <s v="1220"/>
    <s v="202300"/>
    <s v="0000"/>
  </r>
  <r>
    <x v="1"/>
    <s v="2023 REAL ESTATE TAX RECEIVABLE"/>
    <n v="0"/>
    <n v="3"/>
    <x v="0"/>
    <s v="Receivable5226"/>
    <m/>
    <s v=""/>
    <n v="5226"/>
    <x v="8"/>
    <s v="22.07"/>
    <x v="2"/>
    <s v="jmcgovern"/>
    <d v="2022-11-02T10:09:22"/>
    <s v=""/>
    <s v=""/>
    <s v="CRT Transaction"/>
    <b v="1"/>
    <s v="Rev"/>
    <n v="0"/>
    <n v="0"/>
    <n v="74245.91"/>
    <n v="-74245.91"/>
    <s v="01"/>
    <s v="000"/>
    <s v="1220"/>
    <s v="202300"/>
    <s v="0000"/>
  </r>
  <r>
    <x v="1"/>
    <s v="2023 REAL ESTATE TAX RECEIVABLE"/>
    <n v="0"/>
    <n v="3"/>
    <x v="0"/>
    <s v="Receivable5227"/>
    <m/>
    <s v=""/>
    <n v="5227"/>
    <x v="9"/>
    <s v="22.07"/>
    <x v="3"/>
    <s v="jmcgovern"/>
    <d v="2022-11-02T10:12:59"/>
    <s v=""/>
    <s v=""/>
    <s v="CRT Transaction"/>
    <b v="1"/>
    <s v="Rev"/>
    <n v="0"/>
    <n v="0"/>
    <n v="151352.95999999999"/>
    <n v="-151352.95999999999"/>
    <s v="01"/>
    <s v="000"/>
    <s v="1220"/>
    <s v="202300"/>
    <s v="0000"/>
  </r>
  <r>
    <x v="1"/>
    <s v="2023 REAL ESTATE TAX RECEIVABLE"/>
    <n v="0"/>
    <n v="3"/>
    <x v="0"/>
    <s v="Receivable5228"/>
    <m/>
    <s v=""/>
    <n v="5228"/>
    <x v="10"/>
    <s v="22.07"/>
    <x v="2"/>
    <s v="jmcgovern"/>
    <d v="2022-11-02T10:16:32"/>
    <s v=""/>
    <s v=""/>
    <s v="CRT Transaction"/>
    <b v="1"/>
    <s v="Rev"/>
    <n v="0"/>
    <n v="0"/>
    <n v="80565.88"/>
    <n v="-80565.88"/>
    <s v="01"/>
    <s v="000"/>
    <s v="1220"/>
    <s v="202300"/>
    <s v="0000"/>
  </r>
  <r>
    <x v="1"/>
    <s v="2023 REAL ESTATE TAX RECEIVABLE"/>
    <n v="0"/>
    <n v="3"/>
    <x v="0"/>
    <s v="Receivable5019"/>
    <m/>
    <s v=""/>
    <n v="5019"/>
    <x v="11"/>
    <s v="22.07"/>
    <x v="2"/>
    <s v="jmcgovern"/>
    <d v="2022-11-02T10:41:28"/>
    <s v=""/>
    <s v=""/>
    <s v="CRT Transaction"/>
    <b v="1"/>
    <s v="Rev"/>
    <n v="0"/>
    <n v="0"/>
    <n v="10774.12"/>
    <n v="-10774.12"/>
    <s v="01"/>
    <s v="000"/>
    <s v="1220"/>
    <s v="202300"/>
    <s v="0000"/>
  </r>
  <r>
    <x v="1"/>
    <s v="2023 REAL ESTATE TAX RECEIVABLE"/>
    <n v="0"/>
    <n v="3"/>
    <x v="0"/>
    <s v="Receivable5020"/>
    <m/>
    <s v=""/>
    <n v="5020"/>
    <x v="12"/>
    <s v="22.07"/>
    <x v="4"/>
    <s v="jmcgovern"/>
    <d v="2022-11-02T10:52:59"/>
    <s v=""/>
    <s v=""/>
    <s v="CRT Transaction"/>
    <b v="1"/>
    <s v="Rev"/>
    <n v="0"/>
    <n v="0"/>
    <n v="15215.49"/>
    <n v="-15215.49"/>
    <s v="01"/>
    <s v="000"/>
    <s v="1220"/>
    <s v="202300"/>
    <s v="0000"/>
  </r>
  <r>
    <x v="1"/>
    <s v="2023 REAL ESTATE TAX RECEIVABLE"/>
    <n v="0"/>
    <n v="3"/>
    <x v="0"/>
    <s v="Receivable5021"/>
    <m/>
    <s v=""/>
    <n v="5021"/>
    <x v="13"/>
    <s v="22.07"/>
    <x v="5"/>
    <s v="jmcgovern"/>
    <d v="2022-11-02T10:58:10"/>
    <s v=""/>
    <s v=""/>
    <s v="CRT Transaction"/>
    <b v="1"/>
    <s v="Rev"/>
    <n v="0"/>
    <n v="0"/>
    <n v="13696.22"/>
    <n v="-13696.22"/>
    <s v="01"/>
    <s v="000"/>
    <s v="1220"/>
    <s v="202300"/>
    <s v="0000"/>
  </r>
  <r>
    <x v="1"/>
    <s v="2023 REAL ESTATE TAX RECEIVABLE"/>
    <n v="0"/>
    <n v="3"/>
    <x v="0"/>
    <s v="Receivable5022"/>
    <m/>
    <s v=""/>
    <n v="5022"/>
    <x v="14"/>
    <s v="22.07"/>
    <x v="6"/>
    <s v="jmcgovern"/>
    <d v="2022-11-02T11:00:58"/>
    <s v=""/>
    <s v=""/>
    <s v="CRT Transaction"/>
    <b v="1"/>
    <s v="Rev"/>
    <n v="0"/>
    <n v="0"/>
    <n v="11191.39"/>
    <n v="-11191.39"/>
    <s v="01"/>
    <s v="000"/>
    <s v="1220"/>
    <s v="202300"/>
    <s v="0000"/>
  </r>
  <r>
    <x v="1"/>
    <s v="2023 REAL ESTATE TAX RECEIVABLE"/>
    <n v="0"/>
    <n v="3"/>
    <x v="0"/>
    <s v="Receivable5023"/>
    <m/>
    <s v=""/>
    <n v="5023"/>
    <x v="15"/>
    <s v="22.07"/>
    <x v="3"/>
    <s v="jmcgovern"/>
    <d v="2022-11-02T11:05:59"/>
    <s v=""/>
    <s v=""/>
    <s v="CRT Transaction"/>
    <b v="1"/>
    <s v="Rev"/>
    <n v="0"/>
    <n v="0"/>
    <n v="22372.7"/>
    <n v="-22372.7"/>
    <s v="01"/>
    <s v="000"/>
    <s v="1220"/>
    <s v="202300"/>
    <s v="0000"/>
  </r>
  <r>
    <x v="1"/>
    <s v="2023 REAL ESTATE TAX RECEIVABLE"/>
    <n v="0"/>
    <n v="3"/>
    <x v="0"/>
    <s v="Receivable5024"/>
    <m/>
    <s v=""/>
    <n v="5024"/>
    <x v="16"/>
    <s v="22.07"/>
    <x v="7"/>
    <s v="jmcgovern"/>
    <d v="2022-11-02T11:10:45"/>
    <s v=""/>
    <s v=""/>
    <s v="CRT Transaction"/>
    <b v="1"/>
    <s v="Rev"/>
    <n v="0"/>
    <n v="0"/>
    <n v="14809.91"/>
    <n v="-14809.91"/>
    <s v="01"/>
    <s v="000"/>
    <s v="1220"/>
    <s v="202300"/>
    <s v="0000"/>
  </r>
  <r>
    <x v="1"/>
    <s v="2023 REAL ESTATE TAX RECEIVABLE"/>
    <n v="0"/>
    <n v="3"/>
    <x v="0"/>
    <s v="Receivable5025"/>
    <m/>
    <s v=""/>
    <n v="5025"/>
    <x v="17"/>
    <s v="22.07"/>
    <x v="8"/>
    <s v="jmcgovern"/>
    <d v="2022-11-02T11:12:59"/>
    <s v=""/>
    <s v=""/>
    <s v="CRT Transaction"/>
    <b v="1"/>
    <s v="Rev"/>
    <n v="0"/>
    <n v="0"/>
    <n v="29003.63"/>
    <n v="-29003.63"/>
    <s v="01"/>
    <s v="000"/>
    <s v="1220"/>
    <s v="202300"/>
    <s v="0000"/>
  </r>
  <r>
    <x v="1"/>
    <s v="2023 REAL ESTATE TAX RECEIVABLE"/>
    <n v="0"/>
    <n v="3"/>
    <x v="0"/>
    <s v="Receivable5230"/>
    <m/>
    <s v=""/>
    <n v="5230"/>
    <x v="18"/>
    <s v="22.07"/>
    <x v="8"/>
    <s v="jmcgovern"/>
    <d v="2022-11-02T11:19:49"/>
    <s v=""/>
    <s v=""/>
    <s v="CRT Transaction"/>
    <b v="1"/>
    <s v="Rev"/>
    <n v="0"/>
    <n v="0"/>
    <n v="92373"/>
    <n v="-92373"/>
    <s v="01"/>
    <s v="000"/>
    <s v="1220"/>
    <s v="202300"/>
    <s v="0000"/>
  </r>
  <r>
    <x v="1"/>
    <s v="2023 REAL ESTATE TAX RECEIVABLE"/>
    <n v="0"/>
    <n v="3"/>
    <x v="0"/>
    <s v="Receivable5231"/>
    <m/>
    <s v=""/>
    <n v="5231"/>
    <x v="19"/>
    <s v="22.07"/>
    <x v="9"/>
    <s v="jmcgovern"/>
    <d v="2022-11-02T11:23:31"/>
    <s v=""/>
    <s v=""/>
    <s v="CRT Transaction"/>
    <b v="1"/>
    <s v="Rev"/>
    <n v="0"/>
    <n v="0"/>
    <n v="60455.74"/>
    <n v="-60455.74"/>
    <s v="01"/>
    <s v="000"/>
    <s v="1220"/>
    <s v="202300"/>
    <s v="0000"/>
  </r>
  <r>
    <x v="1"/>
    <s v="2023 REAL ESTATE TAX RECEIVABLE"/>
    <n v="0"/>
    <n v="3"/>
    <x v="0"/>
    <s v="Receivable5232"/>
    <m/>
    <s v=""/>
    <n v="5232"/>
    <x v="20"/>
    <s v="22.07"/>
    <x v="10"/>
    <s v="jmcgovern"/>
    <d v="2022-11-02T11:24:54"/>
    <s v=""/>
    <s v=""/>
    <s v="CRT Transaction"/>
    <b v="1"/>
    <s v="Rev"/>
    <n v="0"/>
    <n v="0"/>
    <n v="117658.34"/>
    <n v="-117658.34"/>
    <s v="01"/>
    <s v="000"/>
    <s v="1220"/>
    <s v="202300"/>
    <s v="0000"/>
  </r>
  <r>
    <x v="1"/>
    <s v="2023 REAL ESTATE TAX RECEIVABLE"/>
    <n v="0"/>
    <n v="3"/>
    <x v="0"/>
    <s v="Receivable5027"/>
    <m/>
    <s v=""/>
    <n v="5027"/>
    <x v="22"/>
    <s v="22.07"/>
    <x v="9"/>
    <s v="jmcgovern"/>
    <d v="2022-11-02T11:29:35"/>
    <s v=""/>
    <s v=""/>
    <s v="CRT Transaction"/>
    <b v="1"/>
    <s v="Rev"/>
    <n v="0"/>
    <n v="0"/>
    <n v="19337.59"/>
    <n v="-19337.59"/>
    <s v="01"/>
    <s v="000"/>
    <s v="1220"/>
    <s v="202300"/>
    <s v="0000"/>
  </r>
  <r>
    <x v="1"/>
    <s v="2023 REAL ESTATE TAX RECEIVABLE"/>
    <n v="0"/>
    <n v="3"/>
    <x v="0"/>
    <s v="Receivable5028"/>
    <m/>
    <s v=""/>
    <n v="5028"/>
    <x v="23"/>
    <s v="22.07"/>
    <x v="11"/>
    <s v="jmcgovern"/>
    <d v="2022-11-02T11:30:02"/>
    <s v=""/>
    <s v=""/>
    <s v="CRT Transaction"/>
    <b v="1"/>
    <s v="Rev"/>
    <n v="0"/>
    <n v="0"/>
    <n v="9346.1200000000008"/>
    <n v="-9346.1200000000008"/>
    <s v="01"/>
    <s v="000"/>
    <s v="1220"/>
    <s v="202300"/>
    <s v="0000"/>
  </r>
  <r>
    <x v="1"/>
    <s v="2023 REAL ESTATE TAX RECEIVABLE"/>
    <n v="0"/>
    <n v="3"/>
    <x v="0"/>
    <s v="Receivable5029"/>
    <m/>
    <s v=""/>
    <n v="5029"/>
    <x v="24"/>
    <s v="22.07"/>
    <x v="12"/>
    <s v="jmcgovern"/>
    <d v="2022-11-02T11:30:20"/>
    <s v=""/>
    <s v=""/>
    <s v="CRT Transaction"/>
    <b v="1"/>
    <s v="Rev"/>
    <n v="0"/>
    <n v="0"/>
    <n v="10347.44"/>
    <n v="-10347.44"/>
    <s v="01"/>
    <s v="000"/>
    <s v="1220"/>
    <s v="202300"/>
    <s v="0000"/>
  </r>
  <r>
    <x v="1"/>
    <s v="2023 REAL ESTATE TAX RECEIVABLE"/>
    <n v="0"/>
    <n v="3"/>
    <x v="0"/>
    <s v="Receivable5030"/>
    <m/>
    <s v=""/>
    <n v="5030"/>
    <x v="25"/>
    <s v="22.07"/>
    <x v="10"/>
    <s v="jmcgovern"/>
    <d v="2022-11-02T11:40:08"/>
    <s v=""/>
    <s v=""/>
    <s v="CRT Transaction"/>
    <b v="1"/>
    <s v="Rev"/>
    <n v="0"/>
    <n v="0"/>
    <n v="21188.71"/>
    <n v="-21188.71"/>
    <s v="01"/>
    <s v="000"/>
    <s v="1220"/>
    <s v="202300"/>
    <s v="0000"/>
  </r>
  <r>
    <x v="1"/>
    <s v="2023 REAL ESTATE TAX RECEIVABLE"/>
    <n v="0"/>
    <n v="3"/>
    <x v="0"/>
    <s v="Receivable5031"/>
    <m/>
    <s v=""/>
    <n v="5031"/>
    <x v="26"/>
    <s v="22.07"/>
    <x v="13"/>
    <s v="jmcgovern"/>
    <d v="2022-11-02T11:40:28"/>
    <s v=""/>
    <s v=""/>
    <s v="CRT Transaction"/>
    <b v="1"/>
    <s v="Rev"/>
    <n v="0"/>
    <n v="0"/>
    <n v="3923.2"/>
    <n v="-3923.2"/>
    <s v="01"/>
    <s v="000"/>
    <s v="1220"/>
    <s v="202300"/>
    <s v="0000"/>
  </r>
  <r>
    <x v="1"/>
    <s v="2023 REAL ESTATE TAX RECEIVABLE"/>
    <n v="0"/>
    <n v="3"/>
    <x v="0"/>
    <s v="Receivable5032"/>
    <m/>
    <s v=""/>
    <n v="5032"/>
    <x v="27"/>
    <s v="22.07"/>
    <x v="14"/>
    <s v="jmcgovern"/>
    <d v="2022-11-02T11:40:47"/>
    <s v=""/>
    <s v=""/>
    <s v="CRT Transaction"/>
    <b v="1"/>
    <s v="Rev"/>
    <n v="0"/>
    <n v="0"/>
    <n v="15161.96"/>
    <n v="-15161.96"/>
    <s v="01"/>
    <s v="000"/>
    <s v="1220"/>
    <s v="202300"/>
    <s v="0000"/>
  </r>
  <r>
    <x v="1"/>
    <s v="2023 REAL ESTATE TAX RECEIVABLE"/>
    <n v="0"/>
    <n v="3"/>
    <x v="0"/>
    <s v="Receivable5033"/>
    <m/>
    <s v=""/>
    <n v="5033"/>
    <x v="28"/>
    <s v="22.07"/>
    <x v="15"/>
    <s v="jmcgovern"/>
    <d v="2022-11-02T12:30:05"/>
    <s v=""/>
    <s v=""/>
    <s v="CRT Transaction"/>
    <b v="1"/>
    <s v="Rev"/>
    <n v="0"/>
    <n v="0"/>
    <n v="81465.009999999995"/>
    <n v="-81465.009999999995"/>
    <s v="01"/>
    <s v="000"/>
    <s v="1220"/>
    <s v="202300"/>
    <s v="0000"/>
  </r>
  <r>
    <x v="1"/>
    <s v="2023 REAL ESTATE TAX RECEIVABLE"/>
    <n v="0"/>
    <n v="3"/>
    <x v="0"/>
    <s v="Receivable5034"/>
    <m/>
    <s v=""/>
    <n v="5034"/>
    <x v="29"/>
    <s v="22.07"/>
    <x v="16"/>
    <s v="jmcgovern"/>
    <d v="2022-11-02T12:32:52"/>
    <s v=""/>
    <s v=""/>
    <s v="CRT Transaction"/>
    <b v="1"/>
    <s v="Rev"/>
    <n v="0"/>
    <n v="0"/>
    <n v="8141.68"/>
    <n v="-8141.68"/>
    <s v="01"/>
    <s v="000"/>
    <s v="1220"/>
    <s v="202300"/>
    <s v="0000"/>
  </r>
  <r>
    <x v="1"/>
    <s v="2023 REAL ESTATE TAX RECEIVABLE"/>
    <n v="0"/>
    <n v="3"/>
    <x v="0"/>
    <s v="Receivable5035"/>
    <m/>
    <s v=""/>
    <n v="5035"/>
    <x v="30"/>
    <s v="22.07"/>
    <x v="17"/>
    <s v="jmcgovern"/>
    <d v="2022-11-02T12:34:55"/>
    <s v=""/>
    <s v=""/>
    <s v="CRT Transaction"/>
    <b v="1"/>
    <s v="Rev"/>
    <n v="0"/>
    <n v="0"/>
    <n v="8541.42"/>
    <n v="-8541.42"/>
    <s v="01"/>
    <s v="000"/>
    <s v="1220"/>
    <s v="202300"/>
    <s v="0000"/>
  </r>
  <r>
    <x v="1"/>
    <s v="2023 REAL ESTATE TAX RECEIVABLE"/>
    <n v="0"/>
    <n v="3"/>
    <x v="0"/>
    <s v="Receivable5037"/>
    <m/>
    <s v=""/>
    <n v="5037"/>
    <x v="31"/>
    <s v="22.07"/>
    <x v="18"/>
    <s v="jmcgovern"/>
    <d v="2022-11-02T12:40:00"/>
    <s v=""/>
    <s v=""/>
    <s v="CRT Transaction"/>
    <b v="1"/>
    <s v="Rev"/>
    <n v="0"/>
    <n v="0"/>
    <n v="20179.259999999998"/>
    <n v="-20179.259999999998"/>
    <s v="01"/>
    <s v="000"/>
    <s v="1220"/>
    <s v="202300"/>
    <s v="0000"/>
  </r>
  <r>
    <x v="1"/>
    <s v="2023 REAL ESTATE TAX RECEIVABLE"/>
    <n v="0"/>
    <n v="3"/>
    <x v="0"/>
    <s v="Receivable5039"/>
    <m/>
    <s v=""/>
    <n v="5039"/>
    <x v="32"/>
    <s v="22.07"/>
    <x v="19"/>
    <s v="jmcgovern"/>
    <d v="2022-11-02T12:44:27"/>
    <s v=""/>
    <s v=""/>
    <s v="CRT Transaction"/>
    <b v="1"/>
    <s v="Rev"/>
    <n v="0"/>
    <n v="0"/>
    <n v="5907.02"/>
    <n v="-5907.02"/>
    <s v="01"/>
    <s v="000"/>
    <s v="1220"/>
    <s v="202300"/>
    <s v="0000"/>
  </r>
  <r>
    <x v="1"/>
    <s v="2023 REAL ESTATE TAX RECEIVABLE"/>
    <n v="0"/>
    <n v="3"/>
    <x v="0"/>
    <s v="Receivable5041"/>
    <m/>
    <s v=""/>
    <n v="5041"/>
    <x v="33"/>
    <s v="22.07"/>
    <x v="20"/>
    <s v="jmcgovern"/>
    <d v="2022-11-02T13:45:59"/>
    <s v=""/>
    <s v=""/>
    <s v="CRT Transaction"/>
    <b v="1"/>
    <s v="Rev"/>
    <n v="0"/>
    <n v="0"/>
    <n v="19316.169999999998"/>
    <n v="-19316.169999999998"/>
    <s v="01"/>
    <s v="000"/>
    <s v="1220"/>
    <s v="202300"/>
    <s v="0000"/>
  </r>
  <r>
    <x v="1"/>
    <s v="2023 REAL ESTATE TAX RECEIVABLE"/>
    <n v="0"/>
    <n v="3"/>
    <x v="0"/>
    <s v="Receivable5042"/>
    <m/>
    <s v=""/>
    <n v="5042"/>
    <x v="34"/>
    <s v="22.07"/>
    <x v="21"/>
    <s v="jmcgovern"/>
    <d v="2022-11-02T13:49:15"/>
    <s v=""/>
    <s v=""/>
    <s v="CRT Transaction"/>
    <b v="1"/>
    <s v="Rev"/>
    <n v="0"/>
    <n v="0"/>
    <n v="26841.68"/>
    <n v="-26841.68"/>
    <s v="01"/>
    <s v="000"/>
    <s v="1220"/>
    <s v="202300"/>
    <s v="0000"/>
  </r>
  <r>
    <x v="1"/>
    <s v="2023 REAL ESTATE TAX RECEIVABLE"/>
    <n v="0"/>
    <n v="3"/>
    <x v="0"/>
    <s v="Receivable5043"/>
    <m/>
    <s v=""/>
    <n v="5043"/>
    <x v="35"/>
    <s v="22.07"/>
    <x v="22"/>
    <s v="jmcgovern"/>
    <d v="2022-11-02T13:51:46"/>
    <s v=""/>
    <s v=""/>
    <s v="CRT Transaction"/>
    <b v="1"/>
    <s v="Rev"/>
    <n v="0"/>
    <n v="0"/>
    <n v="12035.67"/>
    <n v="-12035.67"/>
    <s v="01"/>
    <s v="000"/>
    <s v="1220"/>
    <s v="202300"/>
    <s v="0000"/>
  </r>
  <r>
    <x v="1"/>
    <s v="2023 REAL ESTATE TAX RECEIVABLE"/>
    <n v="0"/>
    <n v="3"/>
    <x v="0"/>
    <s v="Receivable5044"/>
    <m/>
    <s v=""/>
    <n v="5044"/>
    <x v="36"/>
    <s v="22.07"/>
    <x v="23"/>
    <s v="jmcgovern"/>
    <d v="2022-11-02T13:54:21"/>
    <s v=""/>
    <s v=""/>
    <s v="CRT Transaction"/>
    <b v="1"/>
    <s v="Rev"/>
    <n v="0"/>
    <n v="0"/>
    <n v="15383.9"/>
    <n v="-15383.9"/>
    <s v="01"/>
    <s v="000"/>
    <s v="1220"/>
    <s v="202300"/>
    <s v="0000"/>
  </r>
  <r>
    <x v="1"/>
    <s v="2023 REAL ESTATE TAX RECEIVABLE"/>
    <n v="0"/>
    <n v="3"/>
    <x v="0"/>
    <s v="Receivable5045"/>
    <m/>
    <s v=""/>
    <n v="5045"/>
    <x v="37"/>
    <s v="22.07"/>
    <x v="24"/>
    <s v="jmcgovern"/>
    <d v="2022-11-02T13:57:26"/>
    <s v=""/>
    <s v=""/>
    <s v="CRT Transaction"/>
    <b v="1"/>
    <s v="Rev"/>
    <n v="0"/>
    <n v="0"/>
    <n v="30011.45"/>
    <n v="-30011.45"/>
    <s v="01"/>
    <s v="000"/>
    <s v="1220"/>
    <s v="202300"/>
    <s v="0000"/>
  </r>
  <r>
    <x v="1"/>
    <s v="2023 REAL ESTATE TAX RECEIVABLE"/>
    <n v="0"/>
    <n v="3"/>
    <x v="0"/>
    <s v="Receivable5046"/>
    <m/>
    <s v=""/>
    <n v="5046"/>
    <x v="38"/>
    <s v="22.07"/>
    <x v="25"/>
    <s v="jmcgovern"/>
    <d v="2022-11-02T13:59:46"/>
    <s v=""/>
    <s v=""/>
    <s v="CRT Transaction"/>
    <b v="1"/>
    <s v="Rev"/>
    <n v="0"/>
    <n v="0"/>
    <n v="68920.259999999995"/>
    <n v="-68920.259999999995"/>
    <s v="01"/>
    <s v="000"/>
    <s v="1220"/>
    <s v="202300"/>
    <s v="0000"/>
  </r>
  <r>
    <x v="1"/>
    <s v="2023 REAL ESTATE TAX RECEIVABLE"/>
    <n v="0"/>
    <n v="3"/>
    <x v="0"/>
    <s v="Receivable5047"/>
    <m/>
    <s v=""/>
    <n v="5047"/>
    <x v="39"/>
    <s v="22.07"/>
    <x v="25"/>
    <s v="jmcgovern"/>
    <d v="2022-11-02T14:08:14"/>
    <s v=""/>
    <s v=""/>
    <s v="CRT Transaction"/>
    <b v="1"/>
    <s v="Rev"/>
    <n v="0"/>
    <n v="0"/>
    <n v="28223.29"/>
    <n v="-28223.29"/>
    <s v="01"/>
    <s v="000"/>
    <s v="1220"/>
    <s v="202300"/>
    <s v="0000"/>
  </r>
  <r>
    <x v="1"/>
    <s v="2023 REAL ESTATE TAX RECEIVABLE"/>
    <n v="0"/>
    <n v="3"/>
    <x v="0"/>
    <s v="Receivable5239"/>
    <m/>
    <s v=""/>
    <n v="5239"/>
    <x v="40"/>
    <s v="22.07"/>
    <x v="14"/>
    <s v="jmcgovern"/>
    <d v="2022-11-02T14:10:44"/>
    <s v=""/>
    <s v=""/>
    <s v="CRT Transaction"/>
    <b v="1"/>
    <s v="Rev"/>
    <n v="0"/>
    <n v="0"/>
    <n v="107223.17"/>
    <n v="-107223.17"/>
    <s v="01"/>
    <s v="000"/>
    <s v="1220"/>
    <s v="202300"/>
    <s v="0000"/>
  </r>
  <r>
    <x v="1"/>
    <s v="2023 REAL ESTATE TAX RECEIVABLE"/>
    <n v="0"/>
    <n v="3"/>
    <x v="0"/>
    <s v="Receivable5240"/>
    <m/>
    <s v=""/>
    <n v="5240"/>
    <x v="41"/>
    <s v="22.07"/>
    <x v="15"/>
    <s v="jmcgovern"/>
    <d v="2022-11-02T14:12:48"/>
    <s v=""/>
    <s v=""/>
    <s v="CRT Transaction"/>
    <b v="1"/>
    <s v="Rev"/>
    <n v="0"/>
    <n v="0"/>
    <n v="44841.11"/>
    <n v="-44841.11"/>
    <s v="01"/>
    <s v="000"/>
    <s v="1220"/>
    <s v="202300"/>
    <s v="0000"/>
  </r>
  <r>
    <x v="1"/>
    <s v="2023 REAL ESTATE TAX RECEIVABLE"/>
    <n v="0"/>
    <n v="3"/>
    <x v="0"/>
    <s v="Receivable5241"/>
    <m/>
    <s v=""/>
    <n v="5241"/>
    <x v="42"/>
    <s v="22.07"/>
    <x v="18"/>
    <s v="jmcgovern"/>
    <d v="2022-11-02T14:14:43"/>
    <s v=""/>
    <s v=""/>
    <s v="CRT Transaction"/>
    <b v="1"/>
    <s v="Rev"/>
    <n v="0"/>
    <n v="0"/>
    <n v="9510.9500000000007"/>
    <n v="-9510.9500000000007"/>
    <s v="01"/>
    <s v="000"/>
    <s v="1220"/>
    <s v="202300"/>
    <s v="0000"/>
  </r>
  <r>
    <x v="1"/>
    <s v="2023 REAL ESTATE TAX RECEIVABLE"/>
    <n v="0"/>
    <n v="3"/>
    <x v="0"/>
    <s v="Receivable5242"/>
    <m/>
    <s v=""/>
    <n v="5242"/>
    <x v="43"/>
    <s v="22.07"/>
    <x v="26"/>
    <s v="jmcgovern"/>
    <d v="2022-11-02T14:17:34"/>
    <s v=""/>
    <s v=""/>
    <s v="CRT Transaction"/>
    <b v="1"/>
    <s v="Rev"/>
    <n v="0"/>
    <n v="0"/>
    <n v="116001.21"/>
    <n v="-116001.21"/>
    <s v="01"/>
    <s v="000"/>
    <s v="1220"/>
    <s v="202300"/>
    <s v="0000"/>
  </r>
  <r>
    <x v="1"/>
    <s v="2023 REAL ESTATE TAX RECEIVABLE"/>
    <n v="0"/>
    <n v="3"/>
    <x v="0"/>
    <s v="Receivable5243"/>
    <m/>
    <s v=""/>
    <n v="5243"/>
    <x v="44"/>
    <s v="22.07"/>
    <x v="19"/>
    <s v="jmcgovern"/>
    <d v="2022-11-02T14:19:54"/>
    <s v=""/>
    <s v=""/>
    <s v="CRT Transaction"/>
    <b v="1"/>
    <s v="Rev"/>
    <n v="0"/>
    <n v="0"/>
    <n v="22059.62"/>
    <n v="-22059.62"/>
    <s v="01"/>
    <s v="000"/>
    <s v="1220"/>
    <s v="202300"/>
    <s v="0000"/>
  </r>
  <r>
    <x v="1"/>
    <s v="2023 REAL ESTATE TAX RECEIVABLE"/>
    <n v="0"/>
    <n v="3"/>
    <x v="0"/>
    <s v="Receivable5244"/>
    <m/>
    <s v=""/>
    <n v="5244"/>
    <x v="45"/>
    <s v="22.07"/>
    <x v="21"/>
    <s v="jmcgovern"/>
    <d v="2022-11-02T14:22:05"/>
    <s v=""/>
    <s v=""/>
    <s v="CRT Transaction"/>
    <b v="1"/>
    <s v="Rev"/>
    <n v="0"/>
    <n v="0"/>
    <n v="74940.77"/>
    <n v="-74940.77"/>
    <s v="01"/>
    <s v="000"/>
    <s v="1220"/>
    <s v="202300"/>
    <s v="0000"/>
  </r>
  <r>
    <x v="1"/>
    <s v="2023 REAL ESTATE TAX RECEIVABLE"/>
    <n v="0"/>
    <n v="3"/>
    <x v="0"/>
    <s v="Receivable5245"/>
    <m/>
    <s v=""/>
    <n v="5245"/>
    <x v="46"/>
    <s v="22.07"/>
    <x v="24"/>
    <s v="jmcgovern"/>
    <d v="2022-11-02T14:30:34"/>
    <s v=""/>
    <s v=""/>
    <s v="CRT Transaction"/>
    <b v="1"/>
    <s v="Rev"/>
    <n v="0"/>
    <n v="0"/>
    <n v="28223.11"/>
    <n v="-28223.11"/>
    <s v="01"/>
    <s v="000"/>
    <s v="1220"/>
    <s v="202300"/>
    <s v="0000"/>
  </r>
  <r>
    <x v="1"/>
    <s v="2023 REAL ESTATE TAX RECEIVABLE"/>
    <n v="0"/>
    <n v="3"/>
    <x v="0"/>
    <s v="Receivable5246"/>
    <m/>
    <s v=""/>
    <n v="5246"/>
    <x v="47"/>
    <s v="22.07"/>
    <x v="25"/>
    <s v="jmcgovern"/>
    <d v="2022-11-02T14:33:46"/>
    <s v=""/>
    <s v=""/>
    <s v="CRT Transaction"/>
    <b v="1"/>
    <s v="Rev"/>
    <n v="0"/>
    <n v="0"/>
    <n v="123793.06"/>
    <n v="-123793.06"/>
    <s v="01"/>
    <s v="000"/>
    <s v="1220"/>
    <s v="202300"/>
    <s v="0000"/>
  </r>
  <r>
    <x v="1"/>
    <s v="2023 REAL ESTATE TAX RECEIVABLE"/>
    <n v="0"/>
    <n v="3"/>
    <x v="0"/>
    <s v="Receivable5328"/>
    <m/>
    <s v=""/>
    <n v="5328"/>
    <x v="48"/>
    <s v="22.07"/>
    <x v="2"/>
    <s v="jmcgovern"/>
    <d v="2022-11-02T15:07:29"/>
    <s v=""/>
    <s v=""/>
    <s v="CRT Transaction"/>
    <b v="1"/>
    <s v="Rev"/>
    <n v="0"/>
    <n v="0"/>
    <n v="6400.85"/>
    <n v="-6400.85"/>
    <s v="01"/>
    <s v="000"/>
    <s v="1220"/>
    <s v="202300"/>
    <s v="0000"/>
  </r>
  <r>
    <x v="1"/>
    <s v="2023 REAL ESTATE TAX RECEIVABLE"/>
    <n v="0"/>
    <n v="3"/>
    <x v="0"/>
    <s v="Receivable5334"/>
    <m/>
    <s v=""/>
    <n v="5334"/>
    <x v="50"/>
    <s v="22.07"/>
    <x v="25"/>
    <s v="jmcgovern"/>
    <d v="2022-11-02T15:43:08"/>
    <s v=""/>
    <s v=""/>
    <s v="CRT Transaction"/>
    <b v="1"/>
    <s v="Rev"/>
    <n v="0"/>
    <n v="3328.77"/>
    <n v="0"/>
    <n v="3328.77"/>
    <s v="01"/>
    <s v="000"/>
    <s v="1220"/>
    <s v="202300"/>
    <s v="0000"/>
  </r>
  <r>
    <x v="1"/>
    <s v="2023 REAL ESTATE TAX RECEIVABLE"/>
    <n v="0"/>
    <n v="3"/>
    <x v="0"/>
    <s v="Receivable5338"/>
    <m/>
    <s v=""/>
    <n v="5338"/>
    <x v="51"/>
    <s v="22.07"/>
    <x v="27"/>
    <s v="jmcgovern"/>
    <d v="2022-11-02T15:45:24"/>
    <s v=""/>
    <s v=""/>
    <s v="CRT Transaction"/>
    <b v="1"/>
    <s v="Rev"/>
    <n v="0"/>
    <n v="0"/>
    <n v="94004.06"/>
    <n v="-94004.06"/>
    <s v="01"/>
    <s v="000"/>
    <s v="1220"/>
    <s v="202300"/>
    <s v="0000"/>
  </r>
  <r>
    <x v="1"/>
    <s v="2023 REAL ESTATE TAX RECEIVABLE"/>
    <n v="0"/>
    <n v="3"/>
    <x v="0"/>
    <s v="Receivable5339"/>
    <m/>
    <s v=""/>
    <n v="5339"/>
    <x v="52"/>
    <s v="22.07"/>
    <x v="28"/>
    <s v="jmcgovern"/>
    <d v="2022-11-02T15:47:54"/>
    <s v=""/>
    <s v=""/>
    <s v="CRT Transaction"/>
    <b v="1"/>
    <s v="Rev"/>
    <n v="0"/>
    <n v="0"/>
    <n v="773528.59"/>
    <n v="-773528.59"/>
    <s v="01"/>
    <s v="000"/>
    <s v="1220"/>
    <s v="202300"/>
    <s v="0000"/>
  </r>
  <r>
    <x v="1"/>
    <s v="2023 REAL ESTATE TAX RECEIVABLE"/>
    <n v="0"/>
    <n v="3"/>
    <x v="0"/>
    <s v="Receivable5340"/>
    <m/>
    <s v=""/>
    <n v="5340"/>
    <x v="53"/>
    <s v="22.07"/>
    <x v="29"/>
    <s v="jmcgovern"/>
    <d v="2022-11-02T15:50:57"/>
    <s v=""/>
    <s v=""/>
    <s v="CRT Transaction"/>
    <b v="1"/>
    <s v="Rev"/>
    <n v="0"/>
    <n v="0"/>
    <n v="155333.13"/>
    <n v="-155333.13"/>
    <s v="01"/>
    <s v="000"/>
    <s v="1220"/>
    <s v="202300"/>
    <s v="0000"/>
  </r>
  <r>
    <x v="1"/>
    <s v="2023 REAL ESTATE TAX RECEIVABLE"/>
    <n v="0"/>
    <n v="3"/>
    <x v="0"/>
    <s v="Receivable5341"/>
    <m/>
    <s v=""/>
    <n v="5341"/>
    <x v="54"/>
    <s v="22.07"/>
    <x v="30"/>
    <s v="jmcgovern"/>
    <d v="2022-11-02T15:54:27"/>
    <s v=""/>
    <s v=""/>
    <s v="CRT Transaction"/>
    <b v="1"/>
    <s v="Rev"/>
    <n v="0"/>
    <n v="3914.12"/>
    <n v="0"/>
    <n v="3914.12"/>
    <s v="01"/>
    <s v="000"/>
    <s v="1220"/>
    <s v="202300"/>
    <s v="0000"/>
  </r>
  <r>
    <x v="1"/>
    <s v="2023 REAL ESTATE TAX RECEIVABLE"/>
    <n v="0"/>
    <n v="3"/>
    <x v="0"/>
    <s v="Receivable5343"/>
    <m/>
    <s v=""/>
    <n v="5343"/>
    <x v="55"/>
    <s v="22.07"/>
    <x v="31"/>
    <s v="jmcgovern"/>
    <d v="2022-11-02T16:03:46"/>
    <s v=""/>
    <s v=""/>
    <s v="CRT Transaction"/>
    <b v="1"/>
    <s v="Rev"/>
    <n v="0"/>
    <n v="0"/>
    <n v="12566.92"/>
    <n v="-12566.92"/>
    <s v="01"/>
    <s v="000"/>
    <s v="1220"/>
    <s v="202300"/>
    <s v="0000"/>
  </r>
  <r>
    <x v="1"/>
    <s v="2023 REAL ESTATE TAX RECEIVABLE"/>
    <n v="0"/>
    <n v="3"/>
    <x v="0"/>
    <s v="Receivable5344"/>
    <m/>
    <s v=""/>
    <n v="5344"/>
    <x v="56"/>
    <s v="22.07"/>
    <x v="27"/>
    <s v="jmcgovern"/>
    <d v="2022-11-02T16:07:29"/>
    <s v=""/>
    <s v=""/>
    <s v="CRT Transaction"/>
    <b v="1"/>
    <s v="Rev"/>
    <n v="0"/>
    <n v="0"/>
    <n v="69383.31"/>
    <n v="-69383.31"/>
    <s v="01"/>
    <s v="000"/>
    <s v="1220"/>
    <s v="202300"/>
    <s v="0000"/>
  </r>
  <r>
    <x v="1"/>
    <s v="2023 REAL ESTATE TAX RECEIVABLE"/>
    <n v="0"/>
    <n v="3"/>
    <x v="0"/>
    <s v="Receivable5345"/>
    <m/>
    <s v=""/>
    <n v="5345"/>
    <x v="57"/>
    <s v="22.07"/>
    <x v="28"/>
    <s v="jmcgovern"/>
    <d v="2022-11-02T16:09:52"/>
    <s v=""/>
    <s v=""/>
    <s v="CRT Transaction"/>
    <b v="1"/>
    <s v="Rev"/>
    <n v="0"/>
    <n v="0"/>
    <n v="79922.83"/>
    <n v="-79922.83"/>
    <s v="01"/>
    <s v="000"/>
    <s v="1220"/>
    <s v="202300"/>
    <s v="0000"/>
  </r>
  <r>
    <x v="1"/>
    <s v="2023 REAL ESTATE TAX RECEIVABLE"/>
    <n v="0"/>
    <n v="3"/>
    <x v="0"/>
    <s v="Receivable5346"/>
    <m/>
    <s v=""/>
    <n v="5346"/>
    <x v="58"/>
    <s v="22.07"/>
    <x v="29"/>
    <s v="jmcgovern"/>
    <d v="2022-11-02T16:12:18"/>
    <s v=""/>
    <s v=""/>
    <s v="CRT Transaction"/>
    <b v="1"/>
    <s v="Rev"/>
    <n v="0"/>
    <n v="0"/>
    <n v="124440.55"/>
    <n v="-124440.55"/>
    <s v="01"/>
    <s v="000"/>
    <s v="1220"/>
    <s v="202300"/>
    <s v="0000"/>
  </r>
  <r>
    <x v="1"/>
    <s v="2023 REAL ESTATE TAX RECEIVABLE"/>
    <n v="0"/>
    <n v="3"/>
    <x v="0"/>
    <s v="Receivable5347"/>
    <m/>
    <s v=""/>
    <n v="5347"/>
    <x v="59"/>
    <s v="22.07"/>
    <x v="30"/>
    <s v="jmcgovern"/>
    <d v="2022-11-02T16:15:02"/>
    <s v=""/>
    <s v=""/>
    <s v="CRT Transaction"/>
    <b v="1"/>
    <s v="Rev"/>
    <n v="0"/>
    <n v="0"/>
    <n v="45877.84"/>
    <n v="-45877.84"/>
    <s v="01"/>
    <s v="000"/>
    <s v="1220"/>
    <s v="202300"/>
    <s v="0000"/>
  </r>
  <r>
    <x v="1"/>
    <s v="2023 REAL ESTATE TAX RECEIVABLE"/>
    <n v="0"/>
    <n v="3"/>
    <x v="0"/>
    <s v="Receivable5348"/>
    <m/>
    <s v=""/>
    <n v="5348"/>
    <x v="60"/>
    <s v="22.07"/>
    <x v="32"/>
    <s v="jmcgovern"/>
    <d v="2022-11-02T16:17:53"/>
    <s v=""/>
    <s v=""/>
    <s v="CRT Transaction"/>
    <b v="1"/>
    <s v="Rev"/>
    <n v="0"/>
    <n v="0"/>
    <n v="44170.51"/>
    <n v="-44170.51"/>
    <s v="01"/>
    <s v="000"/>
    <s v="1220"/>
    <s v="202300"/>
    <s v="0000"/>
  </r>
  <r>
    <x v="1"/>
    <s v="2023 REAL ESTATE TAX RECEIVABLE"/>
    <n v="0"/>
    <n v="3"/>
    <x v="0"/>
    <s v="Receivable5250"/>
    <m/>
    <s v=""/>
    <n v="5250"/>
    <x v="64"/>
    <s v="22.07"/>
    <x v="29"/>
    <s v="jmcgovern"/>
    <d v="2022-11-03T11:36:28"/>
    <s v=""/>
    <s v=""/>
    <s v="CRT Transaction"/>
    <b v="1"/>
    <s v="Rev"/>
    <n v="0"/>
    <n v="0"/>
    <n v="2620073.62"/>
    <n v="-2620073.62"/>
    <s v="01"/>
    <s v="000"/>
    <s v="1220"/>
    <s v="202300"/>
    <s v="0000"/>
  </r>
  <r>
    <x v="1"/>
    <s v="2023 REAL ESTATE TAX RECEIVABLE"/>
    <n v="0"/>
    <n v="3"/>
    <x v="0"/>
    <s v="Receivable5038"/>
    <m/>
    <s v=""/>
    <n v="5038"/>
    <x v="65"/>
    <s v="22.07"/>
    <x v="26"/>
    <s v="jmcgovern"/>
    <d v="2022-11-03T11:43:53"/>
    <s v=""/>
    <s v=""/>
    <s v="CRT Transaction"/>
    <b v="1"/>
    <s v="Rev"/>
    <n v="0"/>
    <n v="0"/>
    <n v="19846.04"/>
    <n v="-19846.04"/>
    <s v="01"/>
    <s v="000"/>
    <s v="1220"/>
    <s v="202300"/>
    <s v="0000"/>
  </r>
  <r>
    <x v="1"/>
    <s v="2023 REAL ESTATE TAX RECEIVABLE"/>
    <n v="0"/>
    <n v="3"/>
    <x v="0"/>
    <s v="Receivable5356"/>
    <m/>
    <s v=""/>
    <n v="5356"/>
    <x v="66"/>
    <s v="22.08"/>
    <x v="33"/>
    <s v="jmcgovern"/>
    <d v="2022-11-23T10:30:56"/>
    <s v=""/>
    <s v=""/>
    <s v="CRT Transaction"/>
    <b v="1"/>
    <s v="Rev"/>
    <n v="0"/>
    <n v="0"/>
    <n v="177731.19"/>
    <n v="-177731.19"/>
    <s v="01"/>
    <s v="000"/>
    <s v="1220"/>
    <s v="202300"/>
    <s v="0000"/>
  </r>
  <r>
    <x v="1"/>
    <s v="2023 REAL ESTATE TAX RECEIVABLE"/>
    <n v="0"/>
    <n v="3"/>
    <x v="0"/>
    <s v="Receivable5357"/>
    <m/>
    <s v=""/>
    <n v="5357"/>
    <x v="67"/>
    <s v="22.08"/>
    <x v="34"/>
    <s v="jmcgovern"/>
    <d v="2022-11-23T10:40:47"/>
    <s v=""/>
    <s v=""/>
    <s v="CRT Transaction"/>
    <b v="1"/>
    <s v="Rev"/>
    <n v="0"/>
    <n v="0"/>
    <n v="54242.07"/>
    <n v="-54242.07"/>
    <s v="01"/>
    <s v="000"/>
    <s v="1220"/>
    <s v="202300"/>
    <s v="0000"/>
  </r>
  <r>
    <x v="1"/>
    <s v="2023 REAL ESTATE TAX RECEIVABLE"/>
    <n v="0"/>
    <n v="3"/>
    <x v="0"/>
    <s v="Receivable5358"/>
    <m/>
    <s v=""/>
    <n v="5358"/>
    <x v="68"/>
    <s v="22.08"/>
    <x v="35"/>
    <s v="jmcgovern"/>
    <d v="2022-11-23T10:45:14"/>
    <s v=""/>
    <s v=""/>
    <s v="CRT Transaction"/>
    <b v="1"/>
    <s v="Rev"/>
    <n v="0"/>
    <n v="0"/>
    <n v="20375.11"/>
    <n v="-20375.11"/>
    <s v="01"/>
    <s v="000"/>
    <s v="1220"/>
    <s v="202300"/>
    <s v="0000"/>
  </r>
  <r>
    <x v="1"/>
    <s v="2023 REAL ESTATE TAX RECEIVABLE"/>
    <n v="0"/>
    <n v="3"/>
    <x v="0"/>
    <s v="Receivable5368"/>
    <m/>
    <s v=""/>
    <n v="5368"/>
    <x v="69"/>
    <s v="22.08"/>
    <x v="36"/>
    <s v="jmcgovern"/>
    <d v="2022-11-23T11:06:55"/>
    <s v=""/>
    <s v=""/>
    <s v="CRT Transaction"/>
    <b v="1"/>
    <s v="Rev"/>
    <n v="0"/>
    <n v="0"/>
    <n v="7705.9"/>
    <n v="-7705.9"/>
    <s v="01"/>
    <s v="000"/>
    <s v="1220"/>
    <s v="202300"/>
    <s v="0000"/>
  </r>
  <r>
    <x v="1"/>
    <s v="2023 REAL ESTATE TAX RECEIVABLE"/>
    <n v="0"/>
    <n v="3"/>
    <x v="0"/>
    <s v="Receivable5369"/>
    <m/>
    <s v=""/>
    <n v="5369"/>
    <x v="70"/>
    <s v="22.08"/>
    <x v="37"/>
    <s v="jmcgovern"/>
    <d v="2022-11-23T11:28:00"/>
    <s v=""/>
    <s v=""/>
    <s v="CRT Transaction"/>
    <b v="1"/>
    <s v="Rev"/>
    <n v="0"/>
    <n v="0"/>
    <n v="6533.26"/>
    <n v="-6533.26"/>
    <s v="01"/>
    <s v="000"/>
    <s v="1220"/>
    <s v="202300"/>
    <s v="0000"/>
  </r>
  <r>
    <x v="1"/>
    <s v="2023 REAL ESTATE TAX RECEIVABLE"/>
    <n v="0"/>
    <n v="3"/>
    <x v="0"/>
    <s v="Receivable5370"/>
    <m/>
    <s v=""/>
    <n v="5370"/>
    <x v="71"/>
    <s v="22.08"/>
    <x v="38"/>
    <s v="jmcgovern"/>
    <d v="2022-11-23T11:31:38"/>
    <s v=""/>
    <s v=""/>
    <s v="CRT Transaction"/>
    <b v="1"/>
    <s v="Rev"/>
    <n v="0"/>
    <n v="0"/>
    <n v="5170.1499999999996"/>
    <n v="-5170.1499999999996"/>
    <s v="01"/>
    <s v="000"/>
    <s v="1220"/>
    <s v="202300"/>
    <s v="0000"/>
  </r>
  <r>
    <x v="1"/>
    <s v="2023 REAL ESTATE TAX RECEIVABLE"/>
    <n v="0"/>
    <n v="3"/>
    <x v="0"/>
    <s v="Receivable5371"/>
    <m/>
    <s v=""/>
    <n v="5371"/>
    <x v="72"/>
    <s v="22.08"/>
    <x v="33"/>
    <s v="jmcgovern"/>
    <d v="2022-11-23T11:34:47"/>
    <s v=""/>
    <s v=""/>
    <s v="CRT Transaction"/>
    <b v="1"/>
    <s v="Rev"/>
    <n v="0"/>
    <n v="0"/>
    <n v="134557.9"/>
    <n v="-134557.9"/>
    <s v="01"/>
    <s v="000"/>
    <s v="1220"/>
    <s v="202300"/>
    <s v="0000"/>
  </r>
  <r>
    <x v="1"/>
    <s v="2023 REAL ESTATE TAX RECEIVABLE"/>
    <n v="0"/>
    <n v="3"/>
    <x v="0"/>
    <s v="Receivable5372"/>
    <m/>
    <s v=""/>
    <n v="5372"/>
    <x v="73"/>
    <s v="22.08"/>
    <x v="33"/>
    <s v="jmcgovern"/>
    <d v="2022-11-23T11:38:00"/>
    <s v=""/>
    <s v=""/>
    <s v="CRT Transaction"/>
    <b v="1"/>
    <s v="Rev"/>
    <n v="0"/>
    <n v="0"/>
    <n v="109948.34"/>
    <n v="-109948.34"/>
    <s v="01"/>
    <s v="000"/>
    <s v="1220"/>
    <s v="202300"/>
    <s v="0000"/>
  </r>
  <r>
    <x v="1"/>
    <s v="2023 REAL ESTATE TAX RECEIVABLE"/>
    <n v="0"/>
    <n v="3"/>
    <x v="0"/>
    <s v="Receivable5373"/>
    <m/>
    <s v=""/>
    <n v="5373"/>
    <x v="74"/>
    <s v="22.08"/>
    <x v="33"/>
    <s v="jmcgovern"/>
    <d v="2022-11-23T11:41:51"/>
    <s v=""/>
    <s v=""/>
    <s v="CRT Transaction"/>
    <b v="1"/>
    <s v="Rev"/>
    <n v="0"/>
    <n v="0"/>
    <n v="246856.3"/>
    <n v="-246856.3"/>
    <s v="01"/>
    <s v="000"/>
    <s v="1220"/>
    <s v="202300"/>
    <s v="0000"/>
  </r>
  <r>
    <x v="1"/>
    <s v="2023 REAL ESTATE TAX RECEIVABLE"/>
    <n v="0"/>
    <n v="3"/>
    <x v="0"/>
    <s v="Receivable5403"/>
    <m/>
    <s v=""/>
    <n v="5403"/>
    <x v="75"/>
    <s v="22.08"/>
    <x v="39"/>
    <s v="jmcgovern"/>
    <d v="2022-11-23T11:44:44"/>
    <s v=""/>
    <s v=""/>
    <s v="CRT Transaction"/>
    <b v="1"/>
    <s v="Rev"/>
    <n v="0"/>
    <n v="0"/>
    <n v="13808.23"/>
    <n v="-13808.23"/>
    <s v="01"/>
    <s v="000"/>
    <s v="1220"/>
    <s v="202300"/>
    <s v="0000"/>
  </r>
  <r>
    <x v="1"/>
    <s v="2023 REAL ESTATE TAX RECEIVABLE"/>
    <n v="0"/>
    <n v="3"/>
    <x v="0"/>
    <s v="Receivable5405"/>
    <m/>
    <s v=""/>
    <n v="5405"/>
    <x v="76"/>
    <s v="22.08"/>
    <x v="40"/>
    <s v="jmcgovern"/>
    <d v="2022-11-23T11:49:39"/>
    <s v=""/>
    <s v=""/>
    <s v="CRT Transaction"/>
    <b v="1"/>
    <s v="Rev"/>
    <n v="0"/>
    <n v="0"/>
    <n v="6715.61"/>
    <n v="-6715.61"/>
    <s v="01"/>
    <s v="000"/>
    <s v="1220"/>
    <s v="202300"/>
    <s v="0000"/>
  </r>
  <r>
    <x v="1"/>
    <s v="2023 REAL ESTATE TAX RECEIVABLE"/>
    <n v="0"/>
    <n v="3"/>
    <x v="0"/>
    <s v="Receivable5394"/>
    <m/>
    <s v=""/>
    <n v="5394"/>
    <x v="77"/>
    <s v="22.08"/>
    <x v="36"/>
    <s v="jmcgovern"/>
    <d v="2022-11-23T11:56:32"/>
    <s v=""/>
    <s v=""/>
    <s v="CRT Transaction"/>
    <b v="1"/>
    <s v="Rev"/>
    <n v="0"/>
    <n v="0"/>
    <n v="42900.81"/>
    <n v="-42900.81"/>
    <s v="01"/>
    <s v="000"/>
    <s v="1220"/>
    <s v="202300"/>
    <s v="0000"/>
  </r>
  <r>
    <x v="1"/>
    <s v="2023 REAL ESTATE TAX RECEIVABLE"/>
    <n v="0"/>
    <n v="3"/>
    <x v="0"/>
    <s v="Receivable5395"/>
    <m/>
    <s v=""/>
    <n v="5395"/>
    <x v="78"/>
    <s v="22.08"/>
    <x v="36"/>
    <s v="jmcgovern"/>
    <d v="2022-11-29T10:01:00"/>
    <s v=""/>
    <s v=""/>
    <s v="CRT Transaction"/>
    <b v="1"/>
    <s v="Rev"/>
    <n v="0"/>
    <n v="0"/>
    <n v="228975.96"/>
    <n v="-228975.96"/>
    <s v="01"/>
    <s v="000"/>
    <s v="1220"/>
    <s v="202300"/>
    <s v="0000"/>
  </r>
  <r>
    <x v="1"/>
    <s v="2023 REAL ESTATE TAX RECEIVABLE"/>
    <n v="0"/>
    <n v="3"/>
    <x v="0"/>
    <s v="Receivable5396"/>
    <m/>
    <s v=""/>
    <n v="5396"/>
    <x v="79"/>
    <s v="22.08"/>
    <x v="37"/>
    <s v="jmcgovern"/>
    <d v="2022-11-29T10:16:54"/>
    <s v=""/>
    <s v=""/>
    <s v="CRT Transaction"/>
    <b v="1"/>
    <s v="Rev"/>
    <n v="0"/>
    <n v="2735.95"/>
    <n v="0"/>
    <n v="2735.95"/>
    <s v="01"/>
    <s v="000"/>
    <s v="1220"/>
    <s v="202300"/>
    <s v="0000"/>
  </r>
  <r>
    <x v="1"/>
    <s v="2023 REAL ESTATE TAX RECEIVABLE"/>
    <n v="0"/>
    <n v="3"/>
    <x v="0"/>
    <s v="Receivable5397"/>
    <m/>
    <s v=""/>
    <n v="5397"/>
    <x v="80"/>
    <s v="22.08"/>
    <x v="39"/>
    <s v="jmcgovern"/>
    <d v="2022-11-29T11:11:54"/>
    <s v=""/>
    <s v=""/>
    <s v="CRT Transaction"/>
    <b v="1"/>
    <s v="Rev"/>
    <n v="0"/>
    <n v="0"/>
    <n v="82224.02"/>
    <n v="-82224.02"/>
    <s v="01"/>
    <s v="000"/>
    <s v="1220"/>
    <s v="202300"/>
    <s v="0000"/>
  </r>
  <r>
    <x v="1"/>
    <s v="2023 REAL ESTATE TAX RECEIVABLE"/>
    <n v="0"/>
    <n v="3"/>
    <x v="0"/>
    <s v="Receivable5398"/>
    <m/>
    <s v=""/>
    <n v="5398"/>
    <x v="81"/>
    <s v="22.08"/>
    <x v="39"/>
    <s v="jmcgovern"/>
    <d v="2022-11-29T11:16:35"/>
    <s v=""/>
    <s v=""/>
    <s v="CRT Transaction"/>
    <b v="1"/>
    <s v="Rev"/>
    <n v="0"/>
    <n v="0"/>
    <n v="112416.19"/>
    <n v="-112416.19"/>
    <s v="01"/>
    <s v="000"/>
    <s v="1220"/>
    <s v="202300"/>
    <s v="0000"/>
  </r>
  <r>
    <x v="1"/>
    <s v="2023 REAL ESTATE TAX RECEIVABLE"/>
    <n v="0"/>
    <n v="3"/>
    <x v="0"/>
    <s v="Receivable5399"/>
    <m/>
    <s v=""/>
    <n v="5399"/>
    <x v="82"/>
    <s v="22.08"/>
    <x v="39"/>
    <s v="jmcgovern"/>
    <d v="2022-11-29T11:21:13"/>
    <s v=""/>
    <s v=""/>
    <s v="CRT Transaction"/>
    <b v="1"/>
    <s v="Rev"/>
    <n v="0"/>
    <n v="0"/>
    <n v="153126.54999999999"/>
    <n v="-153126.54999999999"/>
    <s v="01"/>
    <s v="000"/>
    <s v="1220"/>
    <s v="202300"/>
    <s v="0000"/>
  </r>
  <r>
    <x v="1"/>
    <s v="2023 REAL ESTATE TAX RECEIVABLE"/>
    <n v="0"/>
    <n v="3"/>
    <x v="0"/>
    <s v="Receivable5400"/>
    <m/>
    <s v=""/>
    <n v="5400"/>
    <x v="83"/>
    <s v="22.08"/>
    <x v="39"/>
    <s v="jmcgovern"/>
    <d v="2022-11-29T11:34:17"/>
    <s v=""/>
    <s v=""/>
    <s v="CRT Transaction"/>
    <b v="1"/>
    <s v="Rev"/>
    <n v="0"/>
    <n v="0"/>
    <n v="148424.54999999999"/>
    <n v="-148424.54999999999"/>
    <s v="01"/>
    <s v="000"/>
    <s v="1220"/>
    <s v="202300"/>
    <s v="0000"/>
  </r>
  <r>
    <x v="1"/>
    <s v="2023 REAL ESTATE TAX RECEIVABLE"/>
    <n v="0"/>
    <n v="3"/>
    <x v="0"/>
    <s v="Receivable5401"/>
    <m/>
    <s v=""/>
    <n v="5401"/>
    <x v="84"/>
    <s v="22.08"/>
    <x v="39"/>
    <s v="jmcgovern"/>
    <d v="2022-11-29T11:34:35"/>
    <s v=""/>
    <s v=""/>
    <s v="CRT Transaction"/>
    <b v="1"/>
    <s v="Rev"/>
    <n v="0"/>
    <n v="0"/>
    <n v="31837.58"/>
    <n v="-31837.58"/>
    <s v="01"/>
    <s v="000"/>
    <s v="1220"/>
    <s v="202300"/>
    <s v="0000"/>
  </r>
  <r>
    <x v="1"/>
    <s v="2023 REAL ESTATE TAX RECEIVABLE"/>
    <n v="0"/>
    <n v="3"/>
    <x v="0"/>
    <s v="Receivable5402"/>
    <m/>
    <s v=""/>
    <n v="5402"/>
    <x v="85"/>
    <s v="22.08"/>
    <x v="39"/>
    <s v="jmcgovern"/>
    <d v="2022-11-29T11:35:10"/>
    <s v=""/>
    <s v=""/>
    <s v="CRT Transaction"/>
    <b v="1"/>
    <s v="Rev"/>
    <n v="0"/>
    <n v="0"/>
    <n v="15123.34"/>
    <n v="-15123.34"/>
    <s v="01"/>
    <s v="000"/>
    <s v="1220"/>
    <s v="202300"/>
    <s v="0000"/>
  </r>
  <r>
    <x v="1"/>
    <s v="2023 REAL ESTATE TAX RECEIVABLE"/>
    <n v="0"/>
    <n v="3"/>
    <x v="0"/>
    <s v="Receivable5406"/>
    <m/>
    <s v=""/>
    <n v="5406"/>
    <x v="86"/>
    <s v="22.08"/>
    <x v="40"/>
    <s v="jmcgovern"/>
    <d v="2022-11-29T11:35:55"/>
    <s v=""/>
    <s v=""/>
    <s v="CRT Transaction"/>
    <b v="1"/>
    <s v="Rev"/>
    <n v="0"/>
    <n v="0"/>
    <n v="6223.71"/>
    <n v="-6223.71"/>
    <s v="01"/>
    <s v="000"/>
    <s v="1220"/>
    <s v="202300"/>
    <s v="0000"/>
  </r>
  <r>
    <x v="1"/>
    <s v="2023 REAL ESTATE TAX RECEIVABLE"/>
    <n v="0"/>
    <n v="3"/>
    <x v="0"/>
    <s v="Receivable5408"/>
    <m/>
    <s v=""/>
    <n v="5408"/>
    <x v="87"/>
    <s v="22.08"/>
    <x v="33"/>
    <s v="jmcgovern"/>
    <d v="2022-11-29T12:01:37"/>
    <s v=""/>
    <s v=""/>
    <s v="CRT Transaction"/>
    <b v="1"/>
    <s v="Rev"/>
    <n v="0"/>
    <n v="4480.6400000000003"/>
    <n v="0"/>
    <n v="4480.6400000000003"/>
    <s v="01"/>
    <s v="000"/>
    <s v="1220"/>
    <s v="202300"/>
    <s v="0000"/>
  </r>
  <r>
    <x v="1"/>
    <s v="2023 REAL ESTATE TAX RECEIVABLE"/>
    <n v="0"/>
    <n v="3"/>
    <x v="0"/>
    <s v="Receivable5410"/>
    <m/>
    <s v=""/>
    <n v="5410"/>
    <x v="88"/>
    <s v="22.08"/>
    <x v="41"/>
    <s v="jmcgovern"/>
    <d v="2022-11-29T12:10:30"/>
    <s v=""/>
    <s v=""/>
    <s v="CRT Transaction"/>
    <b v="1"/>
    <s v="Rev"/>
    <n v="0"/>
    <n v="0"/>
    <n v="5016.0200000000004"/>
    <n v="-5016.0200000000004"/>
    <s v="01"/>
    <s v="000"/>
    <s v="1220"/>
    <s v="202300"/>
    <s v="0000"/>
  </r>
  <r>
    <x v="1"/>
    <s v="2023 REAL ESTATE TAX RECEIVABLE"/>
    <n v="0"/>
    <n v="3"/>
    <x v="0"/>
    <s v="Receivable5415"/>
    <m/>
    <s v=""/>
    <n v="5415"/>
    <x v="89"/>
    <s v="22.08"/>
    <x v="42"/>
    <s v="jmcgovern"/>
    <d v="2022-11-29T12:35:19"/>
    <s v=""/>
    <s v=""/>
    <s v="CRT Transaction"/>
    <b v="1"/>
    <s v="Rev"/>
    <n v="0"/>
    <n v="0"/>
    <n v="1941.97"/>
    <n v="-1941.97"/>
    <s v="01"/>
    <s v="000"/>
    <s v="1220"/>
    <s v="202300"/>
    <s v="0000"/>
  </r>
  <r>
    <x v="1"/>
    <s v="2023 REAL ESTATE TAX RECEIVABLE"/>
    <n v="0"/>
    <n v="3"/>
    <x v="0"/>
    <s v="Receivable5436"/>
    <m/>
    <s v=""/>
    <n v="5436"/>
    <x v="90"/>
    <s v="22.08"/>
    <x v="43"/>
    <s v="jmcgovern"/>
    <d v="2022-11-30T11:40:59"/>
    <s v=""/>
    <s v=""/>
    <s v="CRT Transaction"/>
    <b v="1"/>
    <s v="Rev"/>
    <n v="0"/>
    <n v="0"/>
    <n v="37910.36"/>
    <n v="-37910.36"/>
    <s v="01"/>
    <s v="000"/>
    <s v="1220"/>
    <s v="202300"/>
    <s v="0000"/>
  </r>
  <r>
    <x v="1"/>
    <s v="2023 REAL ESTATE TAX RECEIVABLE"/>
    <n v="0"/>
    <n v="3"/>
    <x v="0"/>
    <s v="Receivable5437"/>
    <m/>
    <s v=""/>
    <n v="5437"/>
    <x v="91"/>
    <s v="22.08"/>
    <x v="33"/>
    <s v="jmcgovern"/>
    <d v="2022-11-30T11:43:54"/>
    <s v=""/>
    <s v=""/>
    <s v="CRT Transaction"/>
    <b v="1"/>
    <s v="Rev"/>
    <n v="0"/>
    <n v="0"/>
    <n v="141655.88"/>
    <n v="-141655.88"/>
    <s v="01"/>
    <s v="000"/>
    <s v="1220"/>
    <s v="202300"/>
    <s v="0000"/>
  </r>
  <r>
    <x v="1"/>
    <s v="2023 REAL ESTATE TAX RECEIVABLE"/>
    <n v="0"/>
    <n v="3"/>
    <x v="0"/>
    <s v="Receivable5438"/>
    <m/>
    <s v=""/>
    <n v="5438"/>
    <x v="92"/>
    <s v="22.08"/>
    <x v="33"/>
    <s v="jmcgovern"/>
    <d v="2022-11-30T11:46:56"/>
    <s v=""/>
    <s v=""/>
    <s v="CRT Transaction"/>
    <b v="1"/>
    <s v="Rev"/>
    <n v="0"/>
    <n v="0"/>
    <n v="82478.87"/>
    <n v="-82478.87"/>
    <s v="01"/>
    <s v="000"/>
    <s v="1220"/>
    <s v="202300"/>
    <s v="0000"/>
  </r>
  <r>
    <x v="1"/>
    <s v="2023 REAL ESTATE TAX RECEIVABLE"/>
    <n v="0"/>
    <n v="3"/>
    <x v="0"/>
    <s v="Receivable5439"/>
    <m/>
    <s v=""/>
    <n v="5439"/>
    <x v="93"/>
    <s v="22.08"/>
    <x v="33"/>
    <s v="jmcgovern"/>
    <d v="2022-11-30T11:49:51"/>
    <s v=""/>
    <s v=""/>
    <s v="CRT Transaction"/>
    <b v="1"/>
    <s v="Rev"/>
    <n v="0"/>
    <n v="0"/>
    <n v="13353.54"/>
    <n v="-13353.54"/>
    <s v="01"/>
    <s v="000"/>
    <s v="1220"/>
    <s v="202300"/>
    <s v="0000"/>
  </r>
  <r>
    <x v="1"/>
    <s v="2023 REAL ESTATE TAX RECEIVABLE"/>
    <n v="0"/>
    <n v="3"/>
    <x v="0"/>
    <s v="Receivable5440"/>
    <m/>
    <s v=""/>
    <n v="5440"/>
    <x v="94"/>
    <s v="22.08"/>
    <x v="33"/>
    <s v="jmcgovern"/>
    <d v="2022-11-30T11:56:09"/>
    <s v=""/>
    <s v=""/>
    <s v="CRT Transaction"/>
    <b v="1"/>
    <s v="Rev"/>
    <n v="0"/>
    <n v="0"/>
    <n v="21070.29"/>
    <n v="-21070.29"/>
    <s v="01"/>
    <s v="000"/>
    <s v="1220"/>
    <s v="202300"/>
    <s v="0000"/>
  </r>
  <r>
    <x v="1"/>
    <s v="2023 REAL ESTATE TAX RECEIVABLE"/>
    <n v="0"/>
    <n v="3"/>
    <x v="0"/>
    <s v="Receivable5441"/>
    <m/>
    <s v=""/>
    <n v="5441"/>
    <x v="95"/>
    <s v="22.08"/>
    <x v="33"/>
    <s v="jmcgovern"/>
    <d v="2022-11-30T11:58:48"/>
    <s v=""/>
    <s v=""/>
    <s v="CRT Transaction"/>
    <b v="1"/>
    <s v="Rev"/>
    <n v="0"/>
    <n v="0"/>
    <n v="3932.29"/>
    <n v="-3932.29"/>
    <s v="01"/>
    <s v="000"/>
    <s v="1220"/>
    <s v="202300"/>
    <s v="0000"/>
  </r>
  <r>
    <x v="1"/>
    <s v="2023 REAL ESTATE TAX RECEIVABLE"/>
    <n v="0"/>
    <n v="3"/>
    <x v="0"/>
    <s v="Receivable5442"/>
    <m/>
    <s v=""/>
    <n v="5442"/>
    <x v="96"/>
    <s v="22.08"/>
    <x v="33"/>
    <s v="jmcgovern"/>
    <d v="2022-11-30T12:01:38"/>
    <s v=""/>
    <s v=""/>
    <s v="CRT Transaction"/>
    <b v="1"/>
    <s v="Rev"/>
    <n v="0"/>
    <n v="0"/>
    <n v="1957.87"/>
    <n v="-1957.87"/>
    <s v="01"/>
    <s v="000"/>
    <s v="1220"/>
    <s v="202300"/>
    <s v="0000"/>
  </r>
  <r>
    <x v="1"/>
    <s v="2023 REAL ESTATE TAX RECEIVABLE"/>
    <n v="0"/>
    <n v="3"/>
    <x v="0"/>
    <s v="Receivable5443"/>
    <m/>
    <s v=""/>
    <n v="5443"/>
    <x v="97"/>
    <s v="22.08"/>
    <x v="33"/>
    <s v="jmcgovern"/>
    <d v="2022-11-30T12:04:16"/>
    <s v=""/>
    <s v=""/>
    <s v="CRT Transaction"/>
    <b v="1"/>
    <s v="Rev"/>
    <n v="0"/>
    <n v="0"/>
    <n v="456307.91"/>
    <n v="-456307.91"/>
    <s v="01"/>
    <s v="000"/>
    <s v="1220"/>
    <s v="202300"/>
    <s v="0000"/>
  </r>
  <r>
    <x v="1"/>
    <s v="2023 REAL ESTATE TAX RECEIVABLE"/>
    <n v="0"/>
    <n v="3"/>
    <x v="0"/>
    <s v="Receivable5444"/>
    <m/>
    <s v=""/>
    <n v="5444"/>
    <x v="98"/>
    <s v="22.08"/>
    <x v="44"/>
    <s v="jmcgovern"/>
    <d v="2022-11-30T12:07:01"/>
    <s v=""/>
    <s v=""/>
    <s v="CRT Transaction"/>
    <b v="1"/>
    <s v="Rev"/>
    <n v="0"/>
    <n v="0"/>
    <n v="30095.17"/>
    <n v="-30095.17"/>
    <s v="01"/>
    <s v="000"/>
    <s v="1220"/>
    <s v="202300"/>
    <s v="0000"/>
  </r>
  <r>
    <x v="1"/>
    <s v="2023 REAL ESTATE TAX RECEIVABLE"/>
    <n v="0"/>
    <n v="3"/>
    <x v="0"/>
    <s v="Receivable5446"/>
    <m/>
    <s v=""/>
    <n v="5446"/>
    <x v="99"/>
    <s v="22.08"/>
    <x v="33"/>
    <s v="jmcgovern"/>
    <d v="2022-11-30T12:13:09"/>
    <s v=""/>
    <s v=""/>
    <s v="CRT Transaction"/>
    <b v="1"/>
    <s v="Rev"/>
    <n v="0"/>
    <n v="0"/>
    <n v="15711.28"/>
    <n v="-15711.28"/>
    <s v="01"/>
    <s v="000"/>
    <s v="1220"/>
    <s v="202300"/>
    <s v="0000"/>
  </r>
  <r>
    <x v="1"/>
    <s v="2023 REAL ESTATE TAX RECEIVABLE"/>
    <n v="0"/>
    <n v="3"/>
    <x v="0"/>
    <s v="Receivable5449"/>
    <m/>
    <s v=""/>
    <n v="5449"/>
    <x v="100"/>
    <s v="22.08"/>
    <x v="45"/>
    <s v="jmcgovern"/>
    <d v="2022-11-30T12:20:03"/>
    <s v=""/>
    <s v=""/>
    <s v="CRT Transaction"/>
    <b v="1"/>
    <s v="Rev"/>
    <n v="0"/>
    <n v="0"/>
    <n v="17372.580000000002"/>
    <n v="-17372.580000000002"/>
    <s v="01"/>
    <s v="000"/>
    <s v="1220"/>
    <s v="202300"/>
    <s v="0000"/>
  </r>
  <r>
    <x v="0"/>
    <s v="2023 PERSONAL PROPERTY RECEIVABLES"/>
    <n v="0"/>
    <n v="3"/>
    <x v="0"/>
    <s v="Receivable5660"/>
    <m/>
    <s v=""/>
    <n v="5660"/>
    <x v="286"/>
    <s v="22.09"/>
    <x v="166"/>
    <s v="jmcgovern"/>
    <d v="2023-01-12T14:51:15"/>
    <s v=""/>
    <s v=""/>
    <s v="CRT Transaction"/>
    <b v="1"/>
    <s v="Rev"/>
    <n v="0"/>
    <n v="0"/>
    <n v="36.14"/>
    <n v="-36.14"/>
    <s v="01"/>
    <s v="000"/>
    <s v="1210"/>
    <s v="202300"/>
    <s v="0000"/>
  </r>
  <r>
    <x v="0"/>
    <s v="2023 PERSONAL PROPERTY RECEIVABLES"/>
    <n v="0"/>
    <n v="3"/>
    <x v="0"/>
    <s v="Receivable5660"/>
    <m/>
    <s v=""/>
    <n v="5660"/>
    <x v="286"/>
    <s v="22.09"/>
    <x v="166"/>
    <s v="jmcgovern"/>
    <d v="2023-01-12T14:51:15"/>
    <s v=""/>
    <s v=""/>
    <s v="CRT Transaction"/>
    <b v="1"/>
    <s v="Rev"/>
    <n v="0"/>
    <n v="0"/>
    <n v="67325.06"/>
    <n v="-67325.06"/>
    <s v="01"/>
    <s v="000"/>
    <s v="1210"/>
    <s v="202300"/>
    <s v="0000"/>
  </r>
  <r>
    <x v="1"/>
    <s v="2023 REAL ESTATE TAX RECEIVABLE"/>
    <n v="0"/>
    <n v="3"/>
    <x v="0"/>
    <s v="Receivable5660"/>
    <m/>
    <s v=""/>
    <n v="5660"/>
    <x v="286"/>
    <s v="22.09"/>
    <x v="166"/>
    <s v="jmcgovern"/>
    <d v="2023-01-12T14:51:15"/>
    <s v=""/>
    <s v=""/>
    <s v="CRT Transaction"/>
    <b v="1"/>
    <s v="Rev"/>
    <n v="0"/>
    <n v="0"/>
    <n v="67325.06"/>
    <n v="-67325.06"/>
    <s v="01"/>
    <s v="000"/>
    <s v="1220"/>
    <s v="202300"/>
    <s v="0000"/>
  </r>
  <r>
    <x v="0"/>
    <s v="2023 PERSONAL PROPERTY RECEIVABLES"/>
    <n v="0"/>
    <n v="3"/>
    <x v="0"/>
    <s v="Receivable5583"/>
    <m/>
    <s v=""/>
    <n v="5583"/>
    <x v="287"/>
    <s v="22.09"/>
    <x v="165"/>
    <s v="jmcgovern"/>
    <d v="2023-01-11T14:11:20"/>
    <s v=""/>
    <s v=""/>
    <s v="CRT Transaction"/>
    <b v="1"/>
    <s v="Rev"/>
    <n v="0"/>
    <n v="0"/>
    <n v="92384.42"/>
    <n v="-92384.42"/>
    <s v="01"/>
    <s v="000"/>
    <s v="1210"/>
    <s v="202300"/>
    <s v="0000"/>
  </r>
  <r>
    <x v="0"/>
    <s v="2023 PERSONAL PROPERTY RECEIVABLES"/>
    <n v="0"/>
    <n v="3"/>
    <x v="0"/>
    <s v="Receivable5661"/>
    <m/>
    <s v=""/>
    <n v="5661"/>
    <x v="288"/>
    <s v="22.09"/>
    <x v="165"/>
    <s v="jmcgovern"/>
    <d v="2023-01-12T14:51:37"/>
    <s v=""/>
    <s v=""/>
    <s v="CRT Transaction"/>
    <b v="1"/>
    <s v="Rev"/>
    <n v="0"/>
    <n v="0"/>
    <n v="80976.479999999996"/>
    <n v="-80976.479999999996"/>
    <s v="01"/>
    <s v="000"/>
    <s v="1210"/>
    <s v="202300"/>
    <s v="0000"/>
  </r>
  <r>
    <x v="1"/>
    <s v="2023 REAL ESTATE TAX RECEIVABLE"/>
    <n v="0"/>
    <n v="3"/>
    <x v="0"/>
    <s v="Receivable5658"/>
    <m/>
    <s v=""/>
    <n v="5658"/>
    <x v="104"/>
    <s v="22.08"/>
    <x v="41"/>
    <s v="jmcgovern"/>
    <d v="2023-01-12T13:41:50"/>
    <s v=""/>
    <s v=""/>
    <s v="CRT Transaction"/>
    <b v="1"/>
    <s v="Rev"/>
    <n v="0"/>
    <n v="2735.95"/>
    <n v="0"/>
    <n v="2735.95"/>
    <s v="01"/>
    <s v="000"/>
    <s v="1220"/>
    <s v="202300"/>
    <s v="0000"/>
  </r>
  <r>
    <x v="1"/>
    <s v="2023 REAL ESTATE TAX RECEIVABLE"/>
    <n v="0"/>
    <n v="3"/>
    <x v="0"/>
    <s v="Receivable5528"/>
    <m/>
    <s v=""/>
    <n v="5528"/>
    <x v="105"/>
    <s v="22.08"/>
    <x v="49"/>
    <s v="jmcgovern"/>
    <d v="2023-01-12T14:17:14"/>
    <s v=""/>
    <s v=""/>
    <s v="CRT Transaction"/>
    <b v="1"/>
    <s v="Rev"/>
    <n v="0"/>
    <n v="0"/>
    <n v="68561.22"/>
    <n v="-68561.22"/>
    <s v="01"/>
    <s v="000"/>
    <s v="1220"/>
    <s v="202300"/>
    <s v="0000"/>
  </r>
  <r>
    <x v="1"/>
    <s v="2023 REAL ESTATE TAX RECEIVABLE"/>
    <n v="0"/>
    <n v="3"/>
    <x v="0"/>
    <s v="Receivable5659"/>
    <m/>
    <s v=""/>
    <n v="5659"/>
    <x v="106"/>
    <s v="22.08"/>
    <x v="42"/>
    <s v="jmcgovern"/>
    <d v="2023-01-12T14:18:11"/>
    <s v=""/>
    <s v=""/>
    <s v="CRT Transaction"/>
    <b v="1"/>
    <s v="Rev"/>
    <n v="0"/>
    <n v="0"/>
    <n v="28.47"/>
    <n v="-28.47"/>
    <s v="01"/>
    <s v="000"/>
    <s v="1220"/>
    <s v="202300"/>
    <s v="0000"/>
  </r>
  <r>
    <x v="1"/>
    <s v="2023 REAL ESTATE TAX RECEIVABLE"/>
    <n v="0"/>
    <n v="3"/>
    <x v="0"/>
    <s v="Receivable5583"/>
    <m/>
    <s v=""/>
    <n v="5583"/>
    <x v="287"/>
    <s v="22.09"/>
    <x v="165"/>
    <s v="jmcgovern"/>
    <d v="2023-01-11T14:11:20"/>
    <s v=""/>
    <s v=""/>
    <s v="CRT Transaction"/>
    <b v="1"/>
    <s v="Rev"/>
    <n v="0"/>
    <n v="0"/>
    <n v="92384.42"/>
    <n v="-92384.42"/>
    <s v="01"/>
    <s v="000"/>
    <s v="1220"/>
    <s v="202300"/>
    <s v="0000"/>
  </r>
  <r>
    <x v="1"/>
    <s v="2023 REAL ESTATE TAX RECEIVABLE"/>
    <n v="0"/>
    <n v="3"/>
    <x v="0"/>
    <s v="Receivable5661"/>
    <m/>
    <s v=""/>
    <n v="5661"/>
    <x v="288"/>
    <s v="22.09"/>
    <x v="165"/>
    <s v="jmcgovern"/>
    <d v="2023-01-12T14:51:37"/>
    <s v=""/>
    <s v=""/>
    <s v="CRT Transaction"/>
    <b v="1"/>
    <s v="Rev"/>
    <n v="0"/>
    <n v="0"/>
    <n v="80976.479999999996"/>
    <n v="-80976.479999999996"/>
    <s v="01"/>
    <s v="000"/>
    <s v="1220"/>
    <s v="202300"/>
    <s v="0000"/>
  </r>
  <r>
    <x v="1"/>
    <s v="2023 REAL ESTATE TAX RECEIVABLE"/>
    <n v="0"/>
    <n v="3"/>
    <x v="0"/>
    <s v="Receivable5689"/>
    <m/>
    <s v=""/>
    <n v="5689"/>
    <x v="108"/>
    <s v="22.07"/>
    <x v="2"/>
    <s v="jmcgovern"/>
    <d v="2023-01-19T10:26:12"/>
    <s v=""/>
    <s v=""/>
    <s v="CRT Transaction"/>
    <b v="1"/>
    <s v="Rev"/>
    <n v="0"/>
    <n v="0"/>
    <n v="4348.78"/>
    <n v="-4348.78"/>
    <s v="01"/>
    <s v="000"/>
    <s v="1220"/>
    <s v="202300"/>
    <s v="0000"/>
  </r>
  <r>
    <x v="1"/>
    <s v="2023 REAL ESTATE TAX RECEIVABLE"/>
    <n v="0"/>
    <n v="3"/>
    <x v="0"/>
    <s v="Receivable5584"/>
    <m/>
    <s v=""/>
    <n v="5584"/>
    <x v="109"/>
    <s v="22.10"/>
    <x v="51"/>
    <s v="jmcgovern"/>
    <d v="2023-01-19T10:52:25"/>
    <s v=""/>
    <s v=""/>
    <s v="CRT Transaction"/>
    <b v="1"/>
    <s v="Rev"/>
    <n v="0"/>
    <n v="0"/>
    <n v="204389.87"/>
    <n v="-204389.87"/>
    <s v="01"/>
    <s v="000"/>
    <s v="1220"/>
    <s v="202300"/>
    <s v="0000"/>
  </r>
  <r>
    <x v="1"/>
    <s v="2023 REAL ESTATE TAX RECEIVABLE"/>
    <n v="0"/>
    <n v="3"/>
    <x v="0"/>
    <s v="Receivable5585"/>
    <m/>
    <s v=""/>
    <n v="5585"/>
    <x v="110"/>
    <s v="22.10"/>
    <x v="52"/>
    <s v="jmcgovern"/>
    <d v="2023-01-19T10:55:03"/>
    <s v=""/>
    <s v=""/>
    <s v="CRT Transaction"/>
    <b v="1"/>
    <s v="Rev"/>
    <n v="0"/>
    <n v="0"/>
    <n v="151025.38"/>
    <n v="-151025.38"/>
    <s v="01"/>
    <s v="000"/>
    <s v="1220"/>
    <s v="202300"/>
    <s v="0000"/>
  </r>
  <r>
    <x v="1"/>
    <s v="2023 REAL ESTATE TAX RECEIVABLE"/>
    <n v="0"/>
    <n v="3"/>
    <x v="0"/>
    <s v="Receivable5586"/>
    <m/>
    <s v=""/>
    <n v="5586"/>
    <x v="111"/>
    <s v="22.10"/>
    <x v="53"/>
    <s v="jmcgovern"/>
    <d v="2023-01-19T12:49:22"/>
    <s v=""/>
    <s v=""/>
    <s v="CRT Transaction"/>
    <b v="1"/>
    <s v="Rev"/>
    <n v="0"/>
    <n v="0"/>
    <n v="118300.87"/>
    <n v="-118300.87"/>
    <s v="01"/>
    <s v="000"/>
    <s v="1220"/>
    <s v="202300"/>
    <s v="0000"/>
  </r>
  <r>
    <x v="1"/>
    <s v="2023 REAL ESTATE TAX RECEIVABLE"/>
    <n v="0"/>
    <n v="3"/>
    <x v="0"/>
    <s v="Receivable5588"/>
    <m/>
    <s v=""/>
    <n v="5588"/>
    <x v="112"/>
    <s v="22.10"/>
    <x v="54"/>
    <s v="jmcgovern"/>
    <d v="2023-01-19T12:49:57"/>
    <s v=""/>
    <s v=""/>
    <s v="CRT Transaction"/>
    <b v="1"/>
    <s v="Rev"/>
    <n v="0"/>
    <n v="0"/>
    <n v="216103.72"/>
    <n v="-216103.72"/>
    <s v="01"/>
    <s v="000"/>
    <s v="1220"/>
    <s v="202300"/>
    <s v="0000"/>
  </r>
  <r>
    <x v="1"/>
    <s v="2023 REAL ESTATE TAX RECEIVABLE"/>
    <n v="0"/>
    <n v="3"/>
    <x v="0"/>
    <s v="Receivable5663"/>
    <m/>
    <s v=""/>
    <n v="5663"/>
    <x v="113"/>
    <s v="22.10"/>
    <x v="55"/>
    <s v="jmcgovern"/>
    <d v="2023-01-19T13:12:44"/>
    <s v=""/>
    <s v=""/>
    <s v="CRT Transaction"/>
    <b v="1"/>
    <s v="Rev"/>
    <n v="0"/>
    <n v="0"/>
    <n v="236549.05"/>
    <n v="-236549.05"/>
    <s v="01"/>
    <s v="000"/>
    <s v="1220"/>
    <s v="202300"/>
    <s v="0000"/>
  </r>
  <r>
    <x v="1"/>
    <s v="2023 REAL ESTATE TAX RECEIVABLE"/>
    <n v="0"/>
    <n v="3"/>
    <x v="0"/>
    <s v="Receivable5293"/>
    <m/>
    <s v=""/>
    <n v="5293"/>
    <x v="114"/>
    <s v="22.10"/>
    <x v="51"/>
    <s v="jmcgovern"/>
    <d v="2023-01-19T14:39:15"/>
    <s v=""/>
    <s v=""/>
    <s v="CRT Transaction"/>
    <b v="1"/>
    <s v="Rev"/>
    <n v="0"/>
    <n v="0"/>
    <n v="39046.07"/>
    <n v="-39046.07"/>
    <s v="01"/>
    <s v="000"/>
    <s v="1220"/>
    <s v="202300"/>
    <s v="0000"/>
  </r>
  <r>
    <x v="1"/>
    <s v="2023 REAL ESTATE TAX RECEIVABLE"/>
    <n v="0"/>
    <n v="3"/>
    <x v="0"/>
    <s v="Receivable5294"/>
    <m/>
    <s v=""/>
    <n v="5294"/>
    <x v="115"/>
    <s v="22.10"/>
    <x v="56"/>
    <s v="jmcgovern"/>
    <d v="2023-01-19T14:52:22"/>
    <s v=""/>
    <s v=""/>
    <s v="CRT Transaction"/>
    <b v="1"/>
    <s v="Rev"/>
    <n v="0"/>
    <n v="0"/>
    <n v="117417.79"/>
    <n v="-117417.79"/>
    <s v="01"/>
    <s v="000"/>
    <s v="1220"/>
    <s v="202300"/>
    <s v="0000"/>
  </r>
  <r>
    <x v="1"/>
    <s v="2023 REAL ESTATE TAX RECEIVABLE"/>
    <n v="0"/>
    <n v="3"/>
    <x v="0"/>
    <s v="Receivable5342"/>
    <m/>
    <s v=""/>
    <n v="5342"/>
    <x v="116"/>
    <s v="22.08"/>
    <x v="33"/>
    <s v="jmcgovern"/>
    <d v="2023-01-24T14:10:08"/>
    <s v=""/>
    <s v=""/>
    <s v="CRT Transaction"/>
    <b v="1"/>
    <s v="Rev"/>
    <n v="0"/>
    <n v="0"/>
    <n v="30.65"/>
    <n v="-30.65"/>
    <s v="01"/>
    <s v="000"/>
    <s v="1220"/>
    <s v="202300"/>
    <s v="0000"/>
  </r>
  <r>
    <x v="1"/>
    <s v="2023 REAL ESTATE TAX RECEIVABLE"/>
    <n v="0"/>
    <n v="3"/>
    <x v="0"/>
    <s v="Receivable5295"/>
    <m/>
    <s v=""/>
    <n v="5295"/>
    <x v="117"/>
    <s v="22.10"/>
    <x v="57"/>
    <s v="jmcgovern"/>
    <d v="2023-01-25T11:44:28"/>
    <s v=""/>
    <s v=""/>
    <s v="CRT Transaction"/>
    <b v="1"/>
    <s v="Rev"/>
    <n v="0"/>
    <n v="0"/>
    <n v="66330.080000000002"/>
    <n v="-66330.080000000002"/>
    <s v="01"/>
    <s v="000"/>
    <s v="1220"/>
    <s v="202300"/>
    <s v="0000"/>
  </r>
  <r>
    <x v="1"/>
    <s v="2023 REAL ESTATE TAX RECEIVABLE"/>
    <n v="0"/>
    <n v="3"/>
    <x v="0"/>
    <s v="Receivable5296"/>
    <m/>
    <s v=""/>
    <n v="5296"/>
    <x v="118"/>
    <s v="22.10"/>
    <x v="51"/>
    <s v="jmcgovern"/>
    <d v="2023-01-25T11:44:52"/>
    <s v=""/>
    <s v=""/>
    <s v="CRT Transaction"/>
    <b v="1"/>
    <s v="Rev"/>
    <n v="0"/>
    <n v="0"/>
    <n v="41996.46"/>
    <n v="-41996.46"/>
    <s v="01"/>
    <s v="000"/>
    <s v="1220"/>
    <s v="202300"/>
    <s v="0000"/>
  </r>
  <r>
    <x v="1"/>
    <s v="2023 REAL ESTATE TAX RECEIVABLE"/>
    <n v="0"/>
    <n v="3"/>
    <x v="0"/>
    <s v="Receivable5305"/>
    <m/>
    <s v=""/>
    <n v="5305"/>
    <x v="119"/>
    <s v="22.10"/>
    <x v="58"/>
    <s v="jmcgovern"/>
    <d v="2023-01-25T12:15:43"/>
    <s v=""/>
    <s v=""/>
    <s v="CRT Transaction"/>
    <b v="1"/>
    <s v="Rev"/>
    <n v="0"/>
    <n v="0"/>
    <n v="2102.9"/>
    <n v="-2102.9"/>
    <s v="01"/>
    <s v="000"/>
    <s v="1220"/>
    <s v="202300"/>
    <s v="0000"/>
  </r>
  <r>
    <x v="1"/>
    <s v="2023 REAL ESTATE TAX RECEIVABLE"/>
    <n v="0"/>
    <n v="3"/>
    <x v="0"/>
    <s v="Receivable5307"/>
    <m/>
    <s v=""/>
    <n v="5307"/>
    <x v="120"/>
    <s v="22.10"/>
    <x v="59"/>
    <s v="jmcgovern"/>
    <d v="2023-01-25T12:17:17"/>
    <s v=""/>
    <s v=""/>
    <s v="CRT Transaction"/>
    <b v="1"/>
    <s v="Rev"/>
    <n v="0"/>
    <n v="0"/>
    <n v="135388.85999999999"/>
    <n v="-135388.85999999999"/>
    <s v="01"/>
    <s v="000"/>
    <s v="1220"/>
    <s v="202300"/>
    <s v="0000"/>
  </r>
  <r>
    <x v="1"/>
    <s v="2023 REAL ESTATE TAX RECEIVABLE"/>
    <n v="0"/>
    <n v="3"/>
    <x v="0"/>
    <s v="Receivable5312"/>
    <m/>
    <s v=""/>
    <n v="5312"/>
    <x v="121"/>
    <s v="22.10"/>
    <x v="52"/>
    <s v="jmcgovern"/>
    <d v="2023-01-25T13:52:39"/>
    <s v=""/>
    <s v=""/>
    <s v="CRT Transaction"/>
    <b v="1"/>
    <s v="Rev"/>
    <n v="0"/>
    <n v="0"/>
    <n v="58512.68"/>
    <n v="-58512.68"/>
    <s v="01"/>
    <s v="000"/>
    <s v="1220"/>
    <s v="202300"/>
    <s v="0000"/>
  </r>
  <r>
    <x v="1"/>
    <s v="2023 REAL ESTATE TAX RECEIVABLE"/>
    <n v="0"/>
    <n v="3"/>
    <x v="0"/>
    <s v="Receivable5313"/>
    <m/>
    <s v=""/>
    <n v="5313"/>
    <x v="122"/>
    <s v="22.10"/>
    <x v="52"/>
    <s v="jmcgovern"/>
    <d v="2023-01-25T13:53:12"/>
    <s v=""/>
    <s v=""/>
    <s v="CRT Transaction"/>
    <b v="1"/>
    <s v="Rev"/>
    <n v="0"/>
    <n v="0"/>
    <n v="51476.74"/>
    <n v="-51476.74"/>
    <s v="01"/>
    <s v="000"/>
    <s v="1220"/>
    <s v="202300"/>
    <s v="0000"/>
  </r>
  <r>
    <x v="1"/>
    <s v="2023 REAL ESTATE TAX RECEIVABLE"/>
    <n v="0"/>
    <n v="3"/>
    <x v="0"/>
    <s v="Receivable5335"/>
    <m/>
    <s v=""/>
    <n v="5335"/>
    <x v="123"/>
    <s v="22.10"/>
    <x v="60"/>
    <s v="jmcgovern"/>
    <d v="2023-01-25T13:53:26"/>
    <s v=""/>
    <s v=""/>
    <s v="CRT Transaction"/>
    <b v="1"/>
    <s v="Rev"/>
    <n v="0"/>
    <n v="0"/>
    <n v="572753.80000000005"/>
    <n v="-572753.80000000005"/>
    <s v="01"/>
    <s v="000"/>
    <s v="1220"/>
    <s v="202300"/>
    <s v="0000"/>
  </r>
  <r>
    <x v="1"/>
    <s v="2023 REAL ESTATE TAX RECEIVABLE"/>
    <n v="0"/>
    <n v="3"/>
    <x v="0"/>
    <s v="Receivable5336"/>
    <m/>
    <s v=""/>
    <n v="5336"/>
    <x v="124"/>
    <s v="22.10"/>
    <x v="61"/>
    <s v="jmcgovern"/>
    <d v="2023-01-25T14:53:37"/>
    <s v=""/>
    <s v=""/>
    <s v="CRT Transaction"/>
    <b v="1"/>
    <s v="Rev"/>
    <n v="0"/>
    <n v="0"/>
    <n v="3198"/>
    <n v="-3198"/>
    <s v="01"/>
    <s v="000"/>
    <s v="1220"/>
    <s v="202300"/>
    <s v="0000"/>
  </r>
  <r>
    <x v="1"/>
    <s v="2023 REAL ESTATE TAX RECEIVABLE"/>
    <n v="0"/>
    <n v="3"/>
    <x v="0"/>
    <s v="Receivable5377"/>
    <m/>
    <s v=""/>
    <n v="5377"/>
    <x v="125"/>
    <s v="22.10"/>
    <x v="62"/>
    <s v="jmcgovern"/>
    <d v="2023-01-25T15:01:54"/>
    <s v=""/>
    <s v=""/>
    <s v="CRT Transaction"/>
    <b v="1"/>
    <s v="Rev"/>
    <n v="0"/>
    <n v="0"/>
    <n v="78180.02"/>
    <n v="-78180.02"/>
    <s v="01"/>
    <s v="000"/>
    <s v="1220"/>
    <s v="202300"/>
    <s v="0000"/>
  </r>
  <r>
    <x v="1"/>
    <s v="2023 REAL ESTATE TAX RECEIVABLE"/>
    <n v="0"/>
    <n v="3"/>
    <x v="0"/>
    <s v="Receivable5382"/>
    <m/>
    <s v=""/>
    <n v="5382"/>
    <x v="126"/>
    <s v="22.10"/>
    <x v="63"/>
    <s v="jmcgovern"/>
    <d v="2023-01-25T15:10:56"/>
    <s v=""/>
    <s v=""/>
    <s v="CRT Transaction"/>
    <b v="1"/>
    <s v="Rev"/>
    <n v="0"/>
    <n v="0"/>
    <n v="13724.68"/>
    <n v="-13724.68"/>
    <s v="01"/>
    <s v="000"/>
    <s v="1220"/>
    <s v="202300"/>
    <s v="0000"/>
  </r>
  <r>
    <x v="1"/>
    <s v="2023 REAL ESTATE TAX RECEIVABLE"/>
    <n v="0"/>
    <n v="3"/>
    <x v="0"/>
    <s v="Receivable5672"/>
    <m/>
    <s v=""/>
    <n v="5672"/>
    <x v="127"/>
    <s v="22.10"/>
    <x v="64"/>
    <s v="jmcgovern"/>
    <d v="2023-01-26T10:24:55"/>
    <s v=""/>
    <s v=""/>
    <s v="CRT Transaction"/>
    <b v="1"/>
    <s v="Rev"/>
    <n v="0"/>
    <n v="3274.25"/>
    <n v="0"/>
    <n v="3274.25"/>
    <s v="01"/>
    <s v="000"/>
    <s v="1220"/>
    <s v="202300"/>
    <s v="0000"/>
  </r>
  <r>
    <x v="1"/>
    <s v="2023 REAL ESTATE TAX RECEIVABLE"/>
    <n v="0"/>
    <n v="3"/>
    <x v="0"/>
    <s v="Receivable5454"/>
    <m/>
    <s v=""/>
    <n v="5454"/>
    <x v="128"/>
    <s v="22.10"/>
    <x v="63"/>
    <s v="jmcgovern"/>
    <d v="2023-01-26T10:38:00"/>
    <s v=""/>
    <s v=""/>
    <s v="CRT Transaction"/>
    <b v="1"/>
    <s v="Rev"/>
    <n v="0"/>
    <n v="0"/>
    <n v="25697.35"/>
    <n v="-25697.35"/>
    <s v="01"/>
    <s v="000"/>
    <s v="1220"/>
    <s v="202300"/>
    <s v="0000"/>
  </r>
  <r>
    <x v="1"/>
    <s v="2023 REAL ESTATE TAX RECEIVABLE"/>
    <n v="0"/>
    <n v="3"/>
    <x v="0"/>
    <s v="Receivable5455"/>
    <m/>
    <s v=""/>
    <n v="5455"/>
    <x v="129"/>
    <s v="22.10"/>
    <x v="53"/>
    <s v="jmcgovern"/>
    <d v="2023-01-26T10:38:38"/>
    <s v=""/>
    <s v=""/>
    <s v="CRT Transaction"/>
    <b v="1"/>
    <s v="Rev"/>
    <n v="0"/>
    <n v="0"/>
    <n v="28941.95"/>
    <n v="-28941.95"/>
    <s v="01"/>
    <s v="000"/>
    <s v="1220"/>
    <s v="202300"/>
    <s v="0000"/>
  </r>
  <r>
    <x v="1"/>
    <s v="2023 REAL ESTATE TAX RECEIVABLE"/>
    <n v="0"/>
    <n v="3"/>
    <x v="0"/>
    <s v="Receivable5456"/>
    <m/>
    <s v=""/>
    <n v="5456"/>
    <x v="130"/>
    <s v="22.10"/>
    <x v="64"/>
    <s v="jmcgovern"/>
    <d v="2023-01-26T10:42:19"/>
    <s v=""/>
    <s v=""/>
    <s v="CRT Transaction"/>
    <b v="1"/>
    <s v="Rev"/>
    <n v="0"/>
    <n v="0"/>
    <n v="75311.199999999997"/>
    <n v="-75311.199999999997"/>
    <s v="01"/>
    <s v="000"/>
    <s v="1220"/>
    <s v="202300"/>
    <s v="0000"/>
  </r>
  <r>
    <x v="1"/>
    <s v="2023 REAL ESTATE TAX RECEIVABLE"/>
    <n v="0"/>
    <n v="3"/>
    <x v="0"/>
    <s v="Receivable5457"/>
    <m/>
    <s v=""/>
    <n v="5457"/>
    <x v="131"/>
    <s v="22.10"/>
    <x v="65"/>
    <s v="jmcgovern"/>
    <d v="2023-01-26T10:45:20"/>
    <s v=""/>
    <s v=""/>
    <s v="CRT Transaction"/>
    <b v="1"/>
    <s v="Rev"/>
    <n v="0"/>
    <n v="0"/>
    <n v="23200.42"/>
    <n v="-23200.42"/>
    <s v="01"/>
    <s v="000"/>
    <s v="1220"/>
    <s v="202300"/>
    <s v="0000"/>
  </r>
  <r>
    <x v="1"/>
    <s v="2023 REAL ESTATE TAX RECEIVABLE"/>
    <n v="0"/>
    <n v="3"/>
    <x v="0"/>
    <s v="Receivable5458"/>
    <m/>
    <s v=""/>
    <n v="5458"/>
    <x v="132"/>
    <s v="22.10"/>
    <x v="66"/>
    <s v="jmcgovern"/>
    <d v="2023-01-26T10:45:44"/>
    <s v=""/>
    <s v=""/>
    <s v="CRT Transaction"/>
    <b v="1"/>
    <s v="Rev"/>
    <n v="0"/>
    <n v="0"/>
    <n v="94926.33"/>
    <n v="-94926.33"/>
    <s v="01"/>
    <s v="000"/>
    <s v="1220"/>
    <s v="202300"/>
    <s v="0000"/>
  </r>
  <r>
    <x v="1"/>
    <s v="2023 REAL ESTATE TAX RECEIVABLE"/>
    <n v="0"/>
    <n v="3"/>
    <x v="0"/>
    <s v="Receivable5460"/>
    <m/>
    <s v=""/>
    <n v="5460"/>
    <x v="133"/>
    <s v="22.10"/>
    <x v="67"/>
    <s v="jmcgovern"/>
    <d v="2023-01-26T10:46:14"/>
    <s v=""/>
    <s v=""/>
    <s v="CRT Transaction"/>
    <b v="1"/>
    <s v="Rev"/>
    <n v="0"/>
    <n v="0"/>
    <n v="69325.2"/>
    <n v="-69325.2"/>
    <s v="01"/>
    <s v="000"/>
    <s v="1220"/>
    <s v="202300"/>
    <s v="0000"/>
  </r>
  <r>
    <x v="1"/>
    <s v="2023 REAL ESTATE TAX RECEIVABLE"/>
    <n v="0"/>
    <n v="3"/>
    <x v="0"/>
    <s v="Receivable5461"/>
    <m/>
    <s v=""/>
    <n v="5461"/>
    <x v="134"/>
    <s v="22.10"/>
    <x v="68"/>
    <s v="jmcgovern"/>
    <d v="2023-01-26T11:05:40"/>
    <s v=""/>
    <s v=""/>
    <s v="CRT Transaction"/>
    <b v="1"/>
    <s v="Rev"/>
    <n v="0"/>
    <n v="0"/>
    <n v="56025.66"/>
    <n v="-56025.66"/>
    <s v="01"/>
    <s v="000"/>
    <s v="1220"/>
    <s v="202300"/>
    <s v="0000"/>
  </r>
  <r>
    <x v="1"/>
    <s v="2023 REAL ESTATE TAX RECEIVABLE"/>
    <n v="0"/>
    <n v="3"/>
    <x v="0"/>
    <s v="Receivable5463"/>
    <m/>
    <s v=""/>
    <n v="5463"/>
    <x v="135"/>
    <s v="22.10"/>
    <x v="54"/>
    <s v="jmcgovern"/>
    <d v="2023-01-26T12:01:47"/>
    <s v=""/>
    <s v=""/>
    <s v="CRT Transaction"/>
    <b v="1"/>
    <s v="Rev"/>
    <n v="0"/>
    <n v="0"/>
    <n v="561724.86"/>
    <n v="-561724.86"/>
    <s v="01"/>
    <s v="000"/>
    <s v="1220"/>
    <s v="202300"/>
    <s v="0000"/>
  </r>
  <r>
    <x v="1"/>
    <s v="2023 REAL ESTATE TAX RECEIVABLE"/>
    <n v="0"/>
    <n v="3"/>
    <x v="0"/>
    <s v="Receivable5309"/>
    <m/>
    <s v=""/>
    <n v="5309"/>
    <x v="136"/>
    <s v="22.10"/>
    <x v="69"/>
    <s v="jmcgovern"/>
    <d v="2023-01-26T12:20:56"/>
    <s v=""/>
    <s v=""/>
    <s v="CRT Transaction"/>
    <b v="1"/>
    <s v="Rev"/>
    <n v="0"/>
    <n v="0"/>
    <n v="101744.73"/>
    <n v="-101744.73"/>
    <s v="01"/>
    <s v="000"/>
    <s v="1220"/>
    <s v="202300"/>
    <s v="0000"/>
  </r>
  <r>
    <x v="1"/>
    <s v="2023 REAL ESTATE TAX RECEIVABLE"/>
    <n v="0"/>
    <n v="3"/>
    <x v="0"/>
    <s v="Receivable5589"/>
    <m/>
    <s v=""/>
    <n v="5589"/>
    <x v="137"/>
    <s v="22.11"/>
    <x v="70"/>
    <s v="jmcgovern"/>
    <d v="2023-03-23T09:54:34"/>
    <s v=""/>
    <s v=""/>
    <s v="CRT Transaction"/>
    <b v="1"/>
    <s v="Rev"/>
    <n v="0"/>
    <n v="0"/>
    <n v="543380.31000000006"/>
    <n v="-543380.31000000006"/>
    <s v="01"/>
    <s v="000"/>
    <s v="1220"/>
    <s v="202300"/>
    <s v="0000"/>
  </r>
  <r>
    <x v="1"/>
    <s v="2023 REAL ESTATE TAX RECEIVABLE"/>
    <n v="0"/>
    <n v="3"/>
    <x v="0"/>
    <s v="Receivable5590"/>
    <m/>
    <s v=""/>
    <n v="5590"/>
    <x v="138"/>
    <s v="22.11"/>
    <x v="71"/>
    <s v="jmcgovern"/>
    <d v="2023-03-23T09:54:51"/>
    <s v=""/>
    <s v=""/>
    <s v="CRT Transaction"/>
    <b v="1"/>
    <s v="Rev"/>
    <n v="0"/>
    <n v="0"/>
    <n v="95716.06"/>
    <n v="-95716.06"/>
    <s v="01"/>
    <s v="000"/>
    <s v="1220"/>
    <s v="202300"/>
    <s v="0000"/>
  </r>
  <r>
    <x v="1"/>
    <s v="2023 REAL ESTATE TAX RECEIVABLE"/>
    <n v="0"/>
    <n v="3"/>
    <x v="0"/>
    <s v="Receivable5691"/>
    <m/>
    <s v=""/>
    <n v="5691"/>
    <x v="140"/>
    <s v="22.11"/>
    <x v="73"/>
    <s v="jmcgovern"/>
    <d v="2023-03-23T09:55:18"/>
    <s v=""/>
    <s v=""/>
    <s v="CRT Transaction"/>
    <b v="1"/>
    <s v="Rev"/>
    <n v="0"/>
    <n v="0"/>
    <n v="148424.32000000001"/>
    <n v="-148424.32000000001"/>
    <s v="01"/>
    <s v="000"/>
    <s v="1220"/>
    <s v="202300"/>
    <s v="0000"/>
  </r>
  <r>
    <x v="1"/>
    <s v="2023 REAL ESTATE TAX RECEIVABLE"/>
    <n v="0"/>
    <n v="3"/>
    <x v="0"/>
    <s v="Receivable5692"/>
    <m/>
    <s v=""/>
    <n v="5692"/>
    <x v="141"/>
    <s v="22.11"/>
    <x v="73"/>
    <s v="jmcgovern"/>
    <d v="2023-03-23T09:55:42"/>
    <s v=""/>
    <s v=""/>
    <s v="CRT Transaction"/>
    <b v="1"/>
    <s v="Rev"/>
    <n v="0"/>
    <n v="0"/>
    <n v="2635156.17"/>
    <n v="-2635156.17"/>
    <s v="01"/>
    <s v="000"/>
    <s v="1220"/>
    <s v="202300"/>
    <s v="0000"/>
  </r>
  <r>
    <x v="1"/>
    <s v="2023 REAL ESTATE TAX RECEIVABLE"/>
    <n v="0"/>
    <n v="3"/>
    <x v="0"/>
    <s v="Receivable5465"/>
    <m/>
    <s v=""/>
    <n v="5465"/>
    <x v="142"/>
    <s v="22.11"/>
    <x v="73"/>
    <s v="jmcgovern"/>
    <d v="2023-03-23T09:56:21"/>
    <s v=""/>
    <s v=""/>
    <s v="CRT Transaction"/>
    <b v="1"/>
    <s v="Rev"/>
    <n v="0"/>
    <n v="0"/>
    <n v="174037.54"/>
    <n v="-174037.54"/>
    <s v="01"/>
    <s v="000"/>
    <s v="1220"/>
    <s v="202300"/>
    <s v="0000"/>
  </r>
  <r>
    <x v="1"/>
    <s v="2023 REAL ESTATE TAX RECEIVABLE"/>
    <n v="0"/>
    <n v="3"/>
    <x v="0"/>
    <s v="Receivable5652"/>
    <m/>
    <s v=""/>
    <n v="5652"/>
    <x v="143"/>
    <s v="22.11"/>
    <x v="73"/>
    <s v="jmcgovern"/>
    <d v="2023-03-23T09:56:36"/>
    <s v=""/>
    <s v=""/>
    <s v="CRT Transaction"/>
    <b v="1"/>
    <s v="Rev"/>
    <n v="0"/>
    <n v="0"/>
    <n v="111892.23"/>
    <n v="-111892.23"/>
    <s v="01"/>
    <s v="000"/>
    <s v="1220"/>
    <s v="202300"/>
    <s v="0000"/>
  </r>
  <r>
    <x v="1"/>
    <s v="2023 REAL ESTATE TAX RECEIVABLE"/>
    <n v="0"/>
    <n v="3"/>
    <x v="0"/>
    <s v="Receivable5479"/>
    <m/>
    <s v=""/>
    <n v="5479"/>
    <x v="144"/>
    <s v="22.11"/>
    <x v="73"/>
    <s v="jmcgovern"/>
    <d v="2023-03-23T09:57:06"/>
    <s v=""/>
    <s v=""/>
    <s v="CRT Transaction"/>
    <b v="1"/>
    <s v="Rev"/>
    <n v="0"/>
    <n v="0"/>
    <n v="158749.96"/>
    <n v="-158749.96"/>
    <s v="01"/>
    <s v="000"/>
    <s v="1220"/>
    <s v="202300"/>
    <s v="0000"/>
  </r>
  <r>
    <x v="1"/>
    <s v="2023 REAL ESTATE TAX RECEIVABLE"/>
    <n v="0"/>
    <n v="3"/>
    <x v="0"/>
    <s v="Receivable5481"/>
    <m/>
    <s v=""/>
    <n v="5481"/>
    <x v="145"/>
    <s v="22.11"/>
    <x v="73"/>
    <s v="jmcgovern"/>
    <d v="2023-03-23T09:57:19"/>
    <s v=""/>
    <s v=""/>
    <s v="CRT Transaction"/>
    <b v="1"/>
    <s v="Rev"/>
    <n v="0"/>
    <n v="0"/>
    <n v="56941.97"/>
    <n v="-56941.97"/>
    <s v="01"/>
    <s v="000"/>
    <s v="1220"/>
    <s v="202300"/>
    <s v="0000"/>
  </r>
  <r>
    <x v="1"/>
    <s v="2023 REAL ESTATE TAX RECEIVABLE"/>
    <n v="0"/>
    <n v="3"/>
    <x v="0"/>
    <s v="Receivable5482"/>
    <m/>
    <s v=""/>
    <n v="5482"/>
    <x v="146"/>
    <s v="22.11"/>
    <x v="73"/>
    <s v="jmcgovern"/>
    <d v="2023-03-23T11:10:34"/>
    <s v=""/>
    <s v=""/>
    <s v="CRT Transaction"/>
    <b v="1"/>
    <s v="Rev"/>
    <n v="0"/>
    <n v="0"/>
    <n v="943516.63"/>
    <n v="-943516.63"/>
    <s v="01"/>
    <s v="000"/>
    <s v="1220"/>
    <s v="202300"/>
    <s v="0000"/>
  </r>
  <r>
    <x v="1"/>
    <s v="2023 REAL ESTATE TAX RECEIVABLE"/>
    <n v="0"/>
    <n v="3"/>
    <x v="0"/>
    <s v="Receivable5485"/>
    <m/>
    <s v=""/>
    <n v="5485"/>
    <x v="147"/>
    <s v="22.11"/>
    <x v="74"/>
    <s v="jmcgovern"/>
    <d v="2023-03-23T11:16:08"/>
    <s v=""/>
    <s v=""/>
    <s v="CRT Transaction"/>
    <b v="1"/>
    <s v="Rev"/>
    <n v="0"/>
    <n v="0"/>
    <n v="7312.96"/>
    <n v="-7312.96"/>
    <s v="01"/>
    <s v="000"/>
    <s v="1220"/>
    <s v="202300"/>
    <s v="0000"/>
  </r>
  <r>
    <x v="1"/>
    <s v="2023 REAL ESTATE TAX RECEIVABLE"/>
    <n v="0"/>
    <n v="3"/>
    <x v="0"/>
    <s v="Receivable5525"/>
    <m/>
    <s v=""/>
    <n v="5525"/>
    <x v="148"/>
    <s v="22.11"/>
    <x v="75"/>
    <s v="jmcgovern"/>
    <d v="2023-03-23T11:27:43"/>
    <s v=""/>
    <s v=""/>
    <s v="CRT Transaction"/>
    <b v="1"/>
    <s v="Rev"/>
    <n v="0"/>
    <n v="0"/>
    <n v="10375.870000000001"/>
    <n v="-10375.870000000001"/>
    <s v="01"/>
    <s v="000"/>
    <s v="1220"/>
    <s v="202300"/>
    <s v="0000"/>
  </r>
  <r>
    <x v="1"/>
    <s v="2023 REAL ESTATE TAX RECEIVABLE"/>
    <n v="0"/>
    <n v="3"/>
    <x v="0"/>
    <s v="Receivable5533"/>
    <m/>
    <s v=""/>
    <n v="5533"/>
    <x v="149"/>
    <s v="22.11"/>
    <x v="76"/>
    <s v="jmcgovern"/>
    <d v="2023-03-23T11:28:02"/>
    <s v=""/>
    <s v=""/>
    <s v="CRT Transaction"/>
    <b v="1"/>
    <s v="Rev"/>
    <n v="0"/>
    <n v="0"/>
    <n v="154687.17000000001"/>
    <n v="-154687.17000000001"/>
    <s v="01"/>
    <s v="000"/>
    <s v="1220"/>
    <s v="202300"/>
    <s v="0000"/>
  </r>
  <r>
    <x v="1"/>
    <s v="2023 REAL ESTATE TAX RECEIVABLE"/>
    <n v="0"/>
    <n v="3"/>
    <x v="0"/>
    <s v="Receivable6008"/>
    <m/>
    <s v=""/>
    <n v="6008"/>
    <x v="150"/>
    <s v="22.11"/>
    <x v="77"/>
    <s v="jmcgovern"/>
    <d v="2023-03-23T12:02:38"/>
    <s v=""/>
    <s v=""/>
    <s v="CRT Transaction"/>
    <b v="1"/>
    <s v="Rev"/>
    <n v="0"/>
    <n v="0"/>
    <n v="19036.87"/>
    <n v="-19036.87"/>
    <s v="01"/>
    <s v="000"/>
    <s v="1220"/>
    <s v="202300"/>
    <s v="0000"/>
  </r>
  <r>
    <x v="1"/>
    <s v="2023 REAL ESTATE TAX RECEIVABLE"/>
    <n v="0"/>
    <n v="3"/>
    <x v="0"/>
    <s v="Receivable5706"/>
    <m/>
    <s v=""/>
    <n v="5706"/>
    <x v="151"/>
    <s v="22.12"/>
    <x v="78"/>
    <s v="jmcgovern"/>
    <d v="2023-03-23T13:02:10"/>
    <s v=""/>
    <s v=""/>
    <s v="CRT Transaction"/>
    <b v="1"/>
    <s v="Rev"/>
    <n v="0"/>
    <n v="0"/>
    <n v="122558.44"/>
    <n v="-122558.44"/>
    <s v="01"/>
    <s v="000"/>
    <s v="1220"/>
    <s v="202300"/>
    <s v="0000"/>
  </r>
  <r>
    <x v="1"/>
    <s v="2023 REAL ESTATE TAX RECEIVABLE"/>
    <n v="0"/>
    <n v="3"/>
    <x v="0"/>
    <s v="Receivable5712"/>
    <m/>
    <s v=""/>
    <n v="5712"/>
    <x v="152"/>
    <s v="22.12"/>
    <x v="79"/>
    <s v="jmcgovern"/>
    <d v="2023-03-23T13:13:32"/>
    <s v=""/>
    <s v=""/>
    <s v="CRT Transaction"/>
    <b v="1"/>
    <s v="Rev"/>
    <n v="0"/>
    <n v="0"/>
    <n v="6408.98"/>
    <n v="-6408.98"/>
    <s v="01"/>
    <s v="000"/>
    <s v="1220"/>
    <s v="202300"/>
    <s v="0000"/>
  </r>
  <r>
    <x v="1"/>
    <s v="2023 REAL ESTATE TAX RECEIVABLE"/>
    <n v="0"/>
    <n v="3"/>
    <x v="0"/>
    <s v="Receivable5635"/>
    <m/>
    <s v=""/>
    <n v="5635"/>
    <x v="153"/>
    <s v="22.12"/>
    <x v="80"/>
    <s v="jmcgovern"/>
    <d v="2023-03-23T13:44:53"/>
    <s v=""/>
    <s v=""/>
    <s v="CRT Transaction"/>
    <b v="1"/>
    <s v="Rev"/>
    <n v="0"/>
    <n v="0"/>
    <n v="21692.080000000002"/>
    <n v="-21692.080000000002"/>
    <s v="01"/>
    <s v="000"/>
    <s v="1220"/>
    <s v="202300"/>
    <s v="0000"/>
  </r>
  <r>
    <x v="1"/>
    <s v="2023 REAL ESTATE TAX RECEIVABLE"/>
    <n v="0"/>
    <n v="3"/>
    <x v="0"/>
    <s v="Receivable5734"/>
    <m/>
    <s v=""/>
    <n v="5734"/>
    <x v="154"/>
    <s v="22.12"/>
    <x v="81"/>
    <s v="jmcgovern"/>
    <d v="2023-03-23T13:45:10"/>
    <s v=""/>
    <s v=""/>
    <s v="CRT Transaction"/>
    <b v="1"/>
    <s v="Rev"/>
    <n v="0"/>
    <n v="0"/>
    <n v="4644.05"/>
    <n v="-4644.05"/>
    <s v="01"/>
    <s v="000"/>
    <s v="1220"/>
    <s v="202300"/>
    <s v="0000"/>
  </r>
  <r>
    <x v="1"/>
    <s v="2023 REAL ESTATE TAX RECEIVABLE"/>
    <n v="0"/>
    <n v="3"/>
    <x v="0"/>
    <s v="Receivable5648"/>
    <m/>
    <s v=""/>
    <n v="5648"/>
    <x v="155"/>
    <s v="22.12"/>
    <x v="81"/>
    <s v="jmcgovern"/>
    <d v="2023-03-23T13:45:53"/>
    <s v=""/>
    <s v=""/>
    <s v="CRT Transaction"/>
    <b v="1"/>
    <s v="Rev"/>
    <n v="0"/>
    <n v="0"/>
    <n v="19033.849999999999"/>
    <n v="-19033.849999999999"/>
    <s v="01"/>
    <s v="000"/>
    <s v="1220"/>
    <s v="202300"/>
    <s v="0000"/>
  </r>
  <r>
    <x v="1"/>
    <s v="2023 REAL ESTATE TAX RECEIVABLE"/>
    <n v="0"/>
    <n v="3"/>
    <x v="0"/>
    <s v="Receivable5704"/>
    <m/>
    <s v=""/>
    <n v="5704"/>
    <x v="156"/>
    <s v="22.12"/>
    <x v="82"/>
    <s v="jmcgovern"/>
    <d v="2023-03-23T13:46:08"/>
    <s v=""/>
    <s v=""/>
    <s v="CRT Transaction"/>
    <b v="1"/>
    <s v="Rev"/>
    <n v="0"/>
    <n v="0"/>
    <n v="90196.64"/>
    <n v="-90196.64"/>
    <s v="01"/>
    <s v="000"/>
    <s v="1220"/>
    <s v="202300"/>
    <s v="0000"/>
  </r>
  <r>
    <x v="1"/>
    <s v="2023 REAL ESTATE TAX RECEIVABLE"/>
    <n v="0"/>
    <n v="3"/>
    <x v="0"/>
    <s v="Receivable6265"/>
    <m/>
    <s v=""/>
    <n v="6265"/>
    <x v="157"/>
    <s v="23.05"/>
    <x v="83"/>
    <s v="jmcgovern"/>
    <d v="2023-09-05T12:16:45"/>
    <s v=""/>
    <s v=""/>
    <s v="CRT Transaction"/>
    <b v="1"/>
    <s v="Rev"/>
    <n v="0"/>
    <n v="0"/>
    <n v="124757.09"/>
    <n v="-124757.09"/>
    <s v="01"/>
    <s v="000"/>
    <s v="1220"/>
    <s v="202300"/>
    <s v="0000"/>
  </r>
  <r>
    <x v="1"/>
    <s v="2023 REAL ESTATE TAX RECEIVABLE"/>
    <n v="0"/>
    <n v="3"/>
    <x v="0"/>
    <s v="Receivable6277"/>
    <m/>
    <s v=""/>
    <n v="6277"/>
    <x v="158"/>
    <s v="23.05"/>
    <x v="84"/>
    <s v="jmcgovern"/>
    <d v="2023-09-05T12:18:51"/>
    <s v=""/>
    <s v=""/>
    <s v="CRT Transaction"/>
    <b v="1"/>
    <s v="Rev"/>
    <n v="0"/>
    <n v="0"/>
    <n v="837621.1"/>
    <n v="-837621.1"/>
    <s v="01"/>
    <s v="000"/>
    <s v="1220"/>
    <s v="202300"/>
    <s v="0000"/>
  </r>
  <r>
    <x v="1"/>
    <s v="2023 REAL ESTATE TAX RECEIVABLE"/>
    <n v="0"/>
    <n v="3"/>
    <x v="0"/>
    <s v="Receivable6279"/>
    <m/>
    <s v=""/>
    <n v="6279"/>
    <x v="159"/>
    <s v="23.05"/>
    <x v="85"/>
    <s v="jmcgovern"/>
    <d v="2023-09-05T12:21:50"/>
    <s v=""/>
    <s v=""/>
    <s v="CRT Transaction"/>
    <b v="1"/>
    <s v="Rev"/>
    <n v="0"/>
    <n v="0"/>
    <n v="46066.2"/>
    <n v="-46066.2"/>
    <s v="01"/>
    <s v="000"/>
    <s v="1220"/>
    <s v="202300"/>
    <s v="0000"/>
  </r>
  <r>
    <x v="1"/>
    <s v="2023 REAL ESTATE TAX RECEIVABLE"/>
    <n v="0"/>
    <n v="3"/>
    <x v="0"/>
    <s v="Receivable6647"/>
    <m/>
    <s v=""/>
    <n v="6647"/>
    <x v="160"/>
    <s v="23.05"/>
    <x v="86"/>
    <s v="jmcgovern"/>
    <d v="2023-09-11T11:36:06"/>
    <s v=""/>
    <s v=""/>
    <s v="CRT Transaction"/>
    <b v="1"/>
    <s v="Rev"/>
    <n v="0"/>
    <n v="0"/>
    <n v="142688.88"/>
    <n v="-142688.88"/>
    <s v="01"/>
    <s v="000"/>
    <s v="1220"/>
    <s v="202300"/>
    <s v="0000"/>
  </r>
  <r>
    <x v="1"/>
    <s v="2023 REAL ESTATE TAX RECEIVABLE"/>
    <n v="0"/>
    <n v="3"/>
    <x v="0"/>
    <s v="Receivable6305"/>
    <m/>
    <s v=""/>
    <n v="6305"/>
    <x v="161"/>
    <s v="23.05"/>
    <x v="87"/>
    <s v="jmcgovern"/>
    <d v="2023-09-05T12:22:40"/>
    <s v=""/>
    <s v=""/>
    <s v="CRT Transaction"/>
    <b v="1"/>
    <s v="Rev"/>
    <n v="0"/>
    <n v="0"/>
    <n v="4154.37"/>
    <n v="-4154.37"/>
    <s v="01"/>
    <s v="000"/>
    <s v="1220"/>
    <s v="202300"/>
    <s v="0000"/>
  </r>
  <r>
    <x v="1"/>
    <s v="2023 REAL ESTATE TAX RECEIVABLE"/>
    <n v="0"/>
    <n v="3"/>
    <x v="0"/>
    <s v="Receivable6306"/>
    <m/>
    <s v=""/>
    <n v="6306"/>
    <x v="162"/>
    <s v="23.05"/>
    <x v="88"/>
    <s v="jmcgovern"/>
    <d v="2023-09-05T12:24:01"/>
    <s v=""/>
    <s v=""/>
    <s v="CRT Transaction"/>
    <b v="1"/>
    <s v="Rev"/>
    <n v="0"/>
    <n v="0"/>
    <n v="151594.34"/>
    <n v="-151594.34"/>
    <s v="01"/>
    <s v="000"/>
    <s v="1220"/>
    <s v="202300"/>
    <s v="0000"/>
  </r>
  <r>
    <x v="1"/>
    <s v="2023 REAL ESTATE TAX RECEIVABLE"/>
    <n v="0"/>
    <n v="2"/>
    <x v="2"/>
    <s v="Payable6143"/>
    <n v="329"/>
    <s v="38-AP032923"/>
    <n v="6143"/>
    <x v="163"/>
    <s v="38-FY23"/>
    <x v="89"/>
    <s v="klaplant"/>
    <d v="2023-04-04T16:22:47"/>
    <s v="COMISKEY ELSA +"/>
    <s v="412"/>
    <s v="» Bill Yr: 2023 Prop Loc: -OFF MAIN ST Parcel ID: 4-35-0"/>
    <b v="1"/>
    <s v="Rev"/>
    <n v="0"/>
    <n v="240.33"/>
    <n v="0"/>
    <n v="240.33"/>
    <s v="01"/>
    <s v="000"/>
    <s v="1220"/>
    <s v="202300"/>
    <s v="0000"/>
  </r>
  <r>
    <x v="1"/>
    <s v="2023 REAL ESTATE TAX RECEIVABLE"/>
    <n v="0"/>
    <n v="2"/>
    <x v="2"/>
    <s v="Payable6143"/>
    <n v="329"/>
    <s v="38-AP032923"/>
    <n v="6143"/>
    <x v="163"/>
    <s v="38-FY23"/>
    <x v="89"/>
    <s v="klaplant"/>
    <d v="2023-04-04T16:22:47"/>
    <s v="GOBBI FRANK N"/>
    <s v="815"/>
    <s v="» Bill Yr: 2023 Prop Loc: -OFF JUNCTION ST Parcel ID: 20-5-0"/>
    <b v="1"/>
    <s v="Rev"/>
    <n v="0"/>
    <n v="1963.3"/>
    <n v="0"/>
    <n v="1963.3"/>
    <s v="01"/>
    <s v="000"/>
    <s v="1220"/>
    <s v="202300"/>
    <s v="0000"/>
  </r>
  <r>
    <x v="1"/>
    <s v="2023 REAL ESTATE TAX RECEIVABLE"/>
    <n v="0"/>
    <n v="2"/>
    <x v="2"/>
    <s v="Payable6143"/>
    <n v="329"/>
    <s v="38-AP032923"/>
    <n v="6143"/>
    <x v="163"/>
    <s v="38-FY23"/>
    <x v="89"/>
    <s v="klaplant"/>
    <d v="2023-04-04T16:22:47"/>
    <s v="HAGAN STEVEN F"/>
    <s v="900"/>
    <s v="» Bill Yr: 2023 Prop Loc: -OFF CLAYBROOK RD Parcel ID: 5-89-A"/>
    <b v="1"/>
    <s v="Rev"/>
    <n v="0"/>
    <n v="773.46"/>
    <n v="0"/>
    <n v="773.46"/>
    <s v="01"/>
    <s v="000"/>
    <s v="1220"/>
    <s v="202300"/>
    <s v="0000"/>
  </r>
  <r>
    <x v="1"/>
    <s v="2023 REAL ESTATE TAX RECEIVABLE"/>
    <n v="0"/>
    <n v="2"/>
    <x v="2"/>
    <s v="Payable6143"/>
    <n v="329"/>
    <s v="38-AP032923"/>
    <n v="6143"/>
    <x v="163"/>
    <s v="38-FY23"/>
    <x v="89"/>
    <s v="klaplant"/>
    <d v="2023-04-04T16:22:47"/>
    <s v="LADD EDWARD H"/>
    <s v="1197"/>
    <s v="» Bill Yr: 2023 Prop Loc: CLAYBROOK RD Parcel ID: 3-6-B"/>
    <b v="1"/>
    <s v="Rev"/>
    <n v="0"/>
    <n v="241.44"/>
    <n v="0"/>
    <n v="241.44"/>
    <s v="01"/>
    <s v="000"/>
    <s v="1220"/>
    <s v="202300"/>
    <s v="0000"/>
  </r>
  <r>
    <x v="1"/>
    <s v="2023 REAL ESTATE TAX RECEIVABLE"/>
    <n v="0"/>
    <n v="2"/>
    <x v="2"/>
    <s v="Payable6143"/>
    <n v="329"/>
    <s v="38-AP032923"/>
    <n v="6143"/>
    <x v="163"/>
    <s v="38-FY23"/>
    <x v="89"/>
    <s v="klaplant"/>
    <d v="2023-04-04T16:22:47"/>
    <s v="ROTH JOAN T"/>
    <s v="1851"/>
    <s v="» Bill Yr: 2023 Prop Loc: MILLER HILL RD Parcel ID: 16-75-0"/>
    <b v="1"/>
    <s v="Rev"/>
    <n v="0"/>
    <n v="261.32"/>
    <n v="0"/>
    <n v="261.32"/>
    <s v="01"/>
    <s v="000"/>
    <s v="1220"/>
    <s v="202300"/>
    <s v="0000"/>
  </r>
  <r>
    <x v="1"/>
    <s v="2023 REAL ESTATE TAX RECEIVABLE"/>
    <n v="0"/>
    <n v="2"/>
    <x v="2"/>
    <s v="Payable6143"/>
    <n v="329"/>
    <s v="38-AP032923"/>
    <n v="6143"/>
    <x v="163"/>
    <s v="38-FY23"/>
    <x v="89"/>
    <s v="klaplant"/>
    <d v="2023-04-04T16:22:47"/>
    <s v="REYNOLDS JEANNETTE S TRUSTEE +"/>
    <s v="2042"/>
    <s v="» Bill Yr: 2023 Prop Loc: -OFF CENTRE ST Parcel ID: 11-123-E"/>
    <b v="1"/>
    <s v="Rev"/>
    <n v="0"/>
    <n v="93.57"/>
    <n v="0"/>
    <n v="93.57"/>
    <s v="01"/>
    <s v="000"/>
    <s v="1220"/>
    <s v="202300"/>
    <s v="0000"/>
  </r>
  <r>
    <x v="1"/>
    <s v="2023 REAL ESTATE TAX RECEIVABLE"/>
    <n v="0"/>
    <n v="2"/>
    <x v="2"/>
    <s v="Payable6143"/>
    <n v="329"/>
    <s v="38-AP032923"/>
    <n v="6143"/>
    <x v="163"/>
    <s v="38-FY23"/>
    <x v="89"/>
    <s v="klaplant"/>
    <d v="2023-04-04T16:22:47"/>
    <s v="GLIDDEN A BOYNTON III TRUSTEE"/>
    <s v="2380"/>
    <s v="» Bill Yr: 2023 Prop Loc: -OFF PINE ST Parcel ID: 17-56-A"/>
    <b v="1"/>
    <s v="Rev"/>
    <n v="0"/>
    <n v="92.07"/>
    <n v="0"/>
    <n v="92.07"/>
    <s v="01"/>
    <s v="000"/>
    <s v="1220"/>
    <s v="202300"/>
    <s v="0000"/>
  </r>
  <r>
    <x v="1"/>
    <s v="2023 REAL ESTATE TAX RECEIVABLE"/>
    <n v="0"/>
    <n v="2"/>
    <x v="2"/>
    <s v="Payable6143"/>
    <n v="329"/>
    <s v="38-AP032923"/>
    <n v="6143"/>
    <x v="163"/>
    <s v="38-FY23"/>
    <x v="89"/>
    <s v="klaplant"/>
    <d v="2023-04-04T16:22:47"/>
    <s v="COLONIAL WATER COMPANY OR"/>
    <s v="408"/>
    <s v="» Bill Yr: 2023 Prop Loc: -OFF HARTFORD ST Parcel ID: 23-90-B"/>
    <b v="1"/>
    <s v="Rev"/>
    <n v="0"/>
    <n v="1046.22"/>
    <n v="0"/>
    <n v="1046.22"/>
    <s v="01"/>
    <s v="000"/>
    <s v="1220"/>
    <s v="202300"/>
    <s v="0000"/>
  </r>
  <r>
    <x v="1"/>
    <s v="2023 REAL ESTATE TAX RECEIVABLE"/>
    <n v="0"/>
    <n v="2"/>
    <x v="2"/>
    <s v="Payable6143"/>
    <n v="329"/>
    <s v="38-AP032923"/>
    <n v="6143"/>
    <x v="163"/>
    <s v="38-FY23"/>
    <x v="89"/>
    <s v="klaplant"/>
    <d v="2023-04-04T16:22:47"/>
    <s v="DONNELLY HOWARD W + CAROL D OR"/>
    <s v="1576"/>
    <s v="» Bill Yr: 2023 Prop Loc: -OFF WALPOLE ST Parcel ID: 18-129-C"/>
    <b v="1"/>
    <s v="Rev"/>
    <n v="0"/>
    <n v="696.58"/>
    <n v="0"/>
    <n v="696.58"/>
    <s v="01"/>
    <s v="000"/>
    <s v="1220"/>
    <s v="202300"/>
    <s v="0000"/>
  </r>
  <r>
    <x v="1"/>
    <s v="2023 REAL ESTATE TAX RECEIVABLE"/>
    <n v="0"/>
    <n v="3"/>
    <x v="0"/>
    <s v="Receivable5729"/>
    <m/>
    <s v=""/>
    <n v="5729"/>
    <x v="165"/>
    <s v="23.01"/>
    <x v="91"/>
    <s v="jmcgovern"/>
    <d v="2023-05-31T12:08:03"/>
    <s v=""/>
    <s v=""/>
    <s v="CRT Transaction"/>
    <b v="1"/>
    <s v="Rev"/>
    <n v="0"/>
    <n v="0"/>
    <n v="45576.51"/>
    <n v="-45576.51"/>
    <s v="01"/>
    <s v="000"/>
    <s v="1220"/>
    <s v="202300"/>
    <s v="0000"/>
  </r>
  <r>
    <x v="1"/>
    <s v="2023 REAL ESTATE TAX RECEIVABLE"/>
    <n v="0"/>
    <n v="3"/>
    <x v="0"/>
    <s v="Receivable5730"/>
    <m/>
    <s v=""/>
    <n v="5730"/>
    <x v="166"/>
    <s v="23.01"/>
    <x v="92"/>
    <s v="jmcgovern"/>
    <d v="2023-05-31T12:15:03"/>
    <s v=""/>
    <s v=""/>
    <s v="CRT Transaction"/>
    <b v="1"/>
    <s v="Rev"/>
    <n v="0"/>
    <n v="0"/>
    <n v="7481.45"/>
    <n v="-7481.45"/>
    <s v="01"/>
    <s v="000"/>
    <s v="1220"/>
    <s v="202300"/>
    <s v="0000"/>
  </r>
  <r>
    <x v="1"/>
    <s v="2023 REAL ESTATE TAX RECEIVABLE"/>
    <n v="0"/>
    <n v="3"/>
    <x v="0"/>
    <s v="Receivable5735"/>
    <m/>
    <s v=""/>
    <n v="5735"/>
    <x v="167"/>
    <s v="23.01"/>
    <x v="93"/>
    <s v="jmcgovern"/>
    <d v="2023-05-31T12:18:07"/>
    <s v=""/>
    <s v=""/>
    <s v="CRT Transaction"/>
    <b v="1"/>
    <s v="Rev"/>
    <n v="0"/>
    <n v="0"/>
    <n v="195582.3"/>
    <n v="-195582.3"/>
    <s v="01"/>
    <s v="000"/>
    <s v="1220"/>
    <s v="202300"/>
    <s v="0000"/>
  </r>
  <r>
    <x v="1"/>
    <s v="2023 REAL ESTATE TAX RECEIVABLE"/>
    <n v="0"/>
    <n v="3"/>
    <x v="0"/>
    <s v="Receivable5807"/>
    <m/>
    <s v=""/>
    <n v="5807"/>
    <x v="168"/>
    <s v="23.01"/>
    <x v="94"/>
    <s v="jmcgovern"/>
    <d v="2023-06-01T12:13:07"/>
    <s v=""/>
    <s v=""/>
    <s v="CRT Transaction"/>
    <b v="1"/>
    <s v="Rev"/>
    <n v="0"/>
    <n v="0"/>
    <n v="59385.8"/>
    <n v="-59385.8"/>
    <s v="01"/>
    <s v="000"/>
    <s v="1220"/>
    <s v="202300"/>
    <s v="0000"/>
  </r>
  <r>
    <x v="1"/>
    <s v="2023 REAL ESTATE TAX RECEIVABLE"/>
    <n v="0"/>
    <n v="3"/>
    <x v="0"/>
    <s v="Receivable5808"/>
    <m/>
    <s v=""/>
    <n v="5808"/>
    <x v="169"/>
    <s v="23.01"/>
    <x v="95"/>
    <s v="jmcgovern"/>
    <d v="2023-06-01T12:19:30"/>
    <s v=""/>
    <s v=""/>
    <s v="CRT Transaction"/>
    <b v="1"/>
    <s v="Rev"/>
    <n v="0"/>
    <n v="0"/>
    <n v="266357.48"/>
    <n v="-266357.48"/>
    <s v="01"/>
    <s v="000"/>
    <s v="1220"/>
    <s v="202300"/>
    <s v="0000"/>
  </r>
  <r>
    <x v="1"/>
    <s v="2023 REAL ESTATE TAX RECEIVABLE"/>
    <n v="0"/>
    <n v="3"/>
    <x v="0"/>
    <s v="Receivable5809"/>
    <m/>
    <s v=""/>
    <n v="5809"/>
    <x v="170"/>
    <s v="23.01"/>
    <x v="96"/>
    <s v="jmcgovern"/>
    <d v="2023-06-01T12:19:46"/>
    <s v=""/>
    <s v=""/>
    <s v="CRT Transaction"/>
    <b v="1"/>
    <s v="Rev"/>
    <n v="0"/>
    <n v="0"/>
    <n v="64323.08"/>
    <n v="-64323.08"/>
    <s v="01"/>
    <s v="000"/>
    <s v="1220"/>
    <s v="202300"/>
    <s v="0000"/>
  </r>
  <r>
    <x v="1"/>
    <s v="2023 REAL ESTATE TAX RECEIVABLE"/>
    <n v="0"/>
    <n v="3"/>
    <x v="0"/>
    <s v="Receivable5883"/>
    <m/>
    <s v=""/>
    <n v="5883"/>
    <x v="171"/>
    <s v="23.01"/>
    <x v="95"/>
    <s v="jmcgovern"/>
    <d v="2023-06-01T12:19:59"/>
    <s v=""/>
    <s v=""/>
    <s v="CRT Transaction"/>
    <b v="1"/>
    <s v="Rev"/>
    <n v="0"/>
    <n v="0"/>
    <n v="153257.43"/>
    <n v="-153257.43"/>
    <s v="01"/>
    <s v="000"/>
    <s v="1220"/>
    <s v="202300"/>
    <s v="0000"/>
  </r>
  <r>
    <x v="1"/>
    <s v="2023 REAL ESTATE TAX RECEIVABLE"/>
    <n v="0"/>
    <n v="3"/>
    <x v="0"/>
    <s v="Receivable5812"/>
    <m/>
    <s v=""/>
    <n v="5812"/>
    <x v="172"/>
    <s v="23.01"/>
    <x v="97"/>
    <s v="jmcgovern"/>
    <d v="2023-06-01T12:20:09"/>
    <s v=""/>
    <s v=""/>
    <s v="CRT Transaction"/>
    <b v="1"/>
    <s v="Rev"/>
    <n v="0"/>
    <n v="0"/>
    <n v="81027.11"/>
    <n v="-81027.11"/>
    <s v="01"/>
    <s v="000"/>
    <s v="1220"/>
    <s v="202300"/>
    <s v="0000"/>
  </r>
  <r>
    <x v="1"/>
    <s v="2023 REAL ESTATE TAX RECEIVABLE"/>
    <n v="0"/>
    <n v="3"/>
    <x v="0"/>
    <s v="Receivable5741"/>
    <m/>
    <s v=""/>
    <n v="5741"/>
    <x v="173"/>
    <s v="23.01"/>
    <x v="98"/>
    <s v="jmcgovern"/>
    <d v="2023-05-31T12:22:14"/>
    <s v=""/>
    <s v=""/>
    <s v="CRT Transaction"/>
    <b v="1"/>
    <s v="Rev"/>
    <n v="0"/>
    <n v="0"/>
    <n v="143212.6"/>
    <n v="-143212.6"/>
    <s v="01"/>
    <s v="000"/>
    <s v="1220"/>
    <s v="202300"/>
    <s v="0000"/>
  </r>
  <r>
    <x v="1"/>
    <s v="2023 REAL ESTATE TAX RECEIVABLE"/>
    <n v="0"/>
    <n v="3"/>
    <x v="0"/>
    <s v="Receivable5756"/>
    <m/>
    <s v=""/>
    <n v="5756"/>
    <x v="174"/>
    <s v="23.01"/>
    <x v="99"/>
    <s v="jmcgovern"/>
    <d v="2023-05-31T12:30:44"/>
    <s v=""/>
    <s v=""/>
    <s v="CRT Transaction"/>
    <b v="1"/>
    <s v="Rev"/>
    <n v="0"/>
    <n v="0"/>
    <n v="247258.32"/>
    <n v="-247258.32"/>
    <s v="01"/>
    <s v="000"/>
    <s v="1220"/>
    <s v="202300"/>
    <s v="0000"/>
  </r>
  <r>
    <x v="1"/>
    <s v="2023 REAL ESTATE TAX RECEIVABLE"/>
    <n v="0"/>
    <n v="3"/>
    <x v="0"/>
    <s v="Receivable5757"/>
    <m/>
    <s v=""/>
    <n v="5757"/>
    <x v="175"/>
    <s v="23.01"/>
    <x v="100"/>
    <s v="jmcgovern"/>
    <d v="2023-05-31T12:35:26"/>
    <s v=""/>
    <s v=""/>
    <s v="CRT Transaction"/>
    <b v="1"/>
    <s v="Rev"/>
    <n v="0"/>
    <n v="0"/>
    <n v="10765.34"/>
    <n v="-10765.34"/>
    <s v="01"/>
    <s v="000"/>
    <s v="1220"/>
    <s v="202300"/>
    <s v="0000"/>
  </r>
  <r>
    <x v="1"/>
    <s v="2023 REAL ESTATE TAX RECEIVABLE"/>
    <n v="0"/>
    <n v="3"/>
    <x v="0"/>
    <s v="Receivable5906"/>
    <m/>
    <s v=""/>
    <n v="5906"/>
    <x v="176"/>
    <s v="23.02"/>
    <x v="101"/>
    <s v="jmcgovern"/>
    <d v="2023-06-20T10:37:23"/>
    <s v=""/>
    <s v=""/>
    <s v="CRT Transaction"/>
    <b v="1"/>
    <s v="Rev"/>
    <n v="0"/>
    <n v="0"/>
    <n v="16939.29"/>
    <n v="-16939.29"/>
    <s v="01"/>
    <s v="000"/>
    <s v="1220"/>
    <s v="202300"/>
    <s v="0000"/>
  </r>
  <r>
    <x v="1"/>
    <s v="2023 REAL ESTATE TAX RECEIVABLE"/>
    <n v="0"/>
    <n v="3"/>
    <x v="0"/>
    <s v="Receivable5907"/>
    <m/>
    <s v=""/>
    <n v="5907"/>
    <x v="177"/>
    <s v="23.02"/>
    <x v="102"/>
    <s v="jmcgovern"/>
    <d v="2023-06-20T10:41:18"/>
    <s v=""/>
    <s v=""/>
    <s v="CRT Transaction"/>
    <b v="1"/>
    <s v="Rev"/>
    <n v="0"/>
    <n v="0"/>
    <n v="9248.23"/>
    <n v="-9248.23"/>
    <s v="01"/>
    <s v="000"/>
    <s v="1220"/>
    <s v="202300"/>
    <s v="0000"/>
  </r>
  <r>
    <x v="1"/>
    <s v="2023 REAL ESTATE TAX RECEIVABLE"/>
    <n v="0"/>
    <n v="3"/>
    <x v="0"/>
    <s v="Receivable5908"/>
    <m/>
    <s v=""/>
    <n v="5908"/>
    <x v="178"/>
    <s v="23.02"/>
    <x v="103"/>
    <s v="jmcgovern"/>
    <d v="2023-06-20T10:41:25"/>
    <s v=""/>
    <s v=""/>
    <s v="CRT Transaction"/>
    <b v="1"/>
    <s v="Rev"/>
    <n v="0"/>
    <n v="0"/>
    <n v="3332.92"/>
    <n v="-3332.92"/>
    <s v="01"/>
    <s v="000"/>
    <s v="1220"/>
    <s v="202300"/>
    <s v="0000"/>
  </r>
  <r>
    <x v="1"/>
    <s v="2023 REAL ESTATE TAX RECEIVABLE"/>
    <n v="0"/>
    <n v="3"/>
    <x v="0"/>
    <s v="Receivable5941"/>
    <m/>
    <s v=""/>
    <n v="5941"/>
    <x v="179"/>
    <s v="23.02"/>
    <x v="104"/>
    <s v="jmcgovern"/>
    <d v="2023-06-20T10:42:58"/>
    <s v=""/>
    <s v=""/>
    <s v="CRT Transaction"/>
    <b v="1"/>
    <s v="Rev"/>
    <n v="0"/>
    <n v="0"/>
    <n v="200798.21"/>
    <n v="-200798.21"/>
    <s v="01"/>
    <s v="000"/>
    <s v="1220"/>
    <s v="202300"/>
    <s v="0000"/>
  </r>
  <r>
    <x v="1"/>
    <s v="2023 REAL ESTATE TAX RECEIVABLE"/>
    <n v="0"/>
    <n v="3"/>
    <x v="0"/>
    <s v="Receivable5943"/>
    <m/>
    <s v=""/>
    <n v="5943"/>
    <x v="180"/>
    <s v="23.02"/>
    <x v="104"/>
    <s v="jmcgovern"/>
    <d v="2023-06-20T10:43:05"/>
    <s v=""/>
    <s v=""/>
    <s v="CRT Transaction"/>
    <b v="1"/>
    <s v="Rev"/>
    <n v="0"/>
    <n v="0"/>
    <n v="6182.72"/>
    <n v="-6182.72"/>
    <s v="01"/>
    <s v="000"/>
    <s v="1220"/>
    <s v="202300"/>
    <s v="0000"/>
  </r>
  <r>
    <x v="1"/>
    <s v="2023 REAL ESTATE TAX RECEIVABLE"/>
    <n v="0"/>
    <n v="3"/>
    <x v="0"/>
    <s v="Receivable5942"/>
    <m/>
    <s v=""/>
    <n v="5942"/>
    <x v="181"/>
    <s v="23.02"/>
    <x v="105"/>
    <s v="jmcgovern"/>
    <d v="2023-06-20T10:43:45"/>
    <s v=""/>
    <s v=""/>
    <s v="CRT Transaction"/>
    <b v="1"/>
    <s v="Rev"/>
    <n v="0"/>
    <n v="0"/>
    <n v="3087.85"/>
    <n v="-3087.85"/>
    <s v="01"/>
    <s v="000"/>
    <s v="1220"/>
    <s v="202300"/>
    <s v="0000"/>
  </r>
  <r>
    <x v="1"/>
    <s v="2023 REAL ESTATE TAX RECEIVABLE"/>
    <n v="0"/>
    <n v="3"/>
    <x v="0"/>
    <s v="Receivable5760"/>
    <m/>
    <s v=""/>
    <n v="5760"/>
    <x v="182"/>
    <s v="23.01"/>
    <x v="106"/>
    <s v="jmcgovern"/>
    <d v="2023-05-31T14:16:11"/>
    <s v=""/>
    <s v=""/>
    <s v="CRT Transaction"/>
    <b v="1"/>
    <s v="Rev"/>
    <n v="0"/>
    <n v="0"/>
    <n v="4990.82"/>
    <n v="-4990.82"/>
    <s v="01"/>
    <s v="000"/>
    <s v="1220"/>
    <s v="202300"/>
    <s v="0000"/>
  </r>
  <r>
    <x v="1"/>
    <s v="2023 REAL ESTATE TAX RECEIVABLE"/>
    <n v="0"/>
    <n v="3"/>
    <x v="0"/>
    <s v="Receivable5762"/>
    <m/>
    <s v=""/>
    <n v="5762"/>
    <x v="183"/>
    <s v="23.01"/>
    <x v="106"/>
    <s v="jmcgovern"/>
    <d v="2023-05-31T14:23:53"/>
    <s v=""/>
    <s v=""/>
    <s v="CRT Transaction"/>
    <b v="1"/>
    <s v="Rev"/>
    <n v="0"/>
    <n v="0"/>
    <n v="88222.96"/>
    <n v="-88222.96"/>
    <s v="01"/>
    <s v="000"/>
    <s v="1220"/>
    <s v="202300"/>
    <s v="0000"/>
  </r>
  <r>
    <x v="1"/>
    <s v="2023 REAL ESTATE TAX RECEIVABLE"/>
    <n v="0"/>
    <n v="3"/>
    <x v="0"/>
    <s v="Receivable5764"/>
    <m/>
    <s v=""/>
    <n v="5764"/>
    <x v="184"/>
    <s v="23.01"/>
    <x v="107"/>
    <s v="jmcgovern"/>
    <d v="2023-05-31T14:29:56"/>
    <s v=""/>
    <s v=""/>
    <s v="CRT Transaction"/>
    <b v="1"/>
    <s v="Rev"/>
    <n v="0"/>
    <n v="0"/>
    <n v="43054.98"/>
    <n v="-43054.98"/>
    <s v="01"/>
    <s v="000"/>
    <s v="1220"/>
    <s v="202300"/>
    <s v="0000"/>
  </r>
  <r>
    <x v="1"/>
    <s v="2023 REAL ESTATE TAX RECEIVABLE"/>
    <n v="0"/>
    <n v="3"/>
    <x v="0"/>
    <s v="Receivable5766"/>
    <m/>
    <s v=""/>
    <n v="5766"/>
    <x v="185"/>
    <s v="23.01"/>
    <x v="108"/>
    <s v="jmcgovern"/>
    <d v="2023-05-31T14:36:11"/>
    <s v=""/>
    <s v=""/>
    <s v="CRT Transaction"/>
    <b v="1"/>
    <s v="Rev"/>
    <n v="0"/>
    <n v="0"/>
    <n v="88396.88"/>
    <n v="-88396.88"/>
    <s v="01"/>
    <s v="000"/>
    <s v="1220"/>
    <s v="202300"/>
    <s v="0000"/>
  </r>
  <r>
    <x v="1"/>
    <s v="2023 REAL ESTATE TAX RECEIVABLE"/>
    <n v="0"/>
    <n v="3"/>
    <x v="0"/>
    <s v="Receivable5785"/>
    <m/>
    <s v=""/>
    <n v="5785"/>
    <x v="187"/>
    <s v="23.01"/>
    <x v="110"/>
    <s v="jmcgovern"/>
    <d v="2023-06-01T11:48:47"/>
    <s v=""/>
    <s v=""/>
    <s v="CRT Transaction"/>
    <b v="1"/>
    <s v="Rev"/>
    <n v="0"/>
    <n v="0"/>
    <n v="413356.83"/>
    <n v="-413356.83"/>
    <s v="01"/>
    <s v="000"/>
    <s v="1220"/>
    <s v="202300"/>
    <s v="0000"/>
  </r>
  <r>
    <x v="1"/>
    <s v="2023 REAL ESTATE TAX RECEIVABLE"/>
    <n v="0"/>
    <n v="3"/>
    <x v="0"/>
    <s v="Receivable5806"/>
    <m/>
    <s v=""/>
    <n v="5806"/>
    <x v="188"/>
    <s v="23.01"/>
    <x v="111"/>
    <s v="jmcgovern"/>
    <d v="2023-06-01T12:06:52"/>
    <s v=""/>
    <s v=""/>
    <s v="CRT Transaction"/>
    <b v="1"/>
    <s v="Rev"/>
    <n v="0"/>
    <n v="0"/>
    <n v="103876.62"/>
    <n v="-103876.62"/>
    <s v="01"/>
    <s v="000"/>
    <s v="1220"/>
    <s v="202300"/>
    <s v="0000"/>
  </r>
  <r>
    <x v="1"/>
    <s v="2023 REAL ESTATE TAX RECEIVABLE"/>
    <n v="0"/>
    <n v="3"/>
    <x v="0"/>
    <s v="Receivable5846"/>
    <m/>
    <s v=""/>
    <n v="5846"/>
    <x v="186"/>
    <s v="23.01"/>
    <x v="109"/>
    <s v="jmcgovern"/>
    <d v="2023-05-31T14:47:44"/>
    <s v=""/>
    <s v=""/>
    <s v="CRT Transaction"/>
    <b v="1"/>
    <s v="Rev"/>
    <n v="0"/>
    <n v="0"/>
    <n v="271789.2"/>
    <n v="-271789.2"/>
    <s v="01"/>
    <s v="000"/>
    <s v="1220"/>
    <s v="202300"/>
    <s v="0000"/>
  </r>
  <r>
    <x v="1"/>
    <s v="2023 REAL ESTATE TAX RECEIVABLE"/>
    <n v="0"/>
    <n v="3"/>
    <x v="0"/>
    <s v="Receivable5781"/>
    <m/>
    <s v=""/>
    <n v="5781"/>
    <x v="189"/>
    <s v="23.01"/>
    <x v="109"/>
    <s v="jmcgovern"/>
    <d v="2023-05-31T14:53:56"/>
    <s v=""/>
    <s v=""/>
    <s v="CRT Transaction"/>
    <b v="1"/>
    <s v="Rev"/>
    <n v="0"/>
    <n v="0"/>
    <n v="184683.37"/>
    <n v="-184683.37"/>
    <s v="01"/>
    <s v="000"/>
    <s v="1220"/>
    <s v="202300"/>
    <s v="0000"/>
  </r>
  <r>
    <x v="1"/>
    <s v="2023 REAL ESTATE TAX RECEIVABLE"/>
    <n v="0"/>
    <n v="3"/>
    <x v="0"/>
    <s v="Receivable6105"/>
    <m/>
    <s v=""/>
    <n v="6105"/>
    <x v="190"/>
    <s v="23.01"/>
    <x v="107"/>
    <s v="jmcgovern"/>
    <d v="2023-05-31T15:09:26"/>
    <s v=""/>
    <s v=""/>
    <s v="CRT Transaction"/>
    <b v="1"/>
    <s v="Rev"/>
    <n v="0"/>
    <n v="10006.18"/>
    <n v="0"/>
    <n v="10006.18"/>
    <s v="01"/>
    <s v="000"/>
    <s v="1220"/>
    <s v="202300"/>
    <s v="0000"/>
  </r>
  <r>
    <x v="1"/>
    <s v="2023 REAL ESTATE TAX RECEIVABLE"/>
    <n v="0"/>
    <n v="3"/>
    <x v="0"/>
    <s v="Receivable5796"/>
    <m/>
    <s v=""/>
    <n v="5796"/>
    <x v="191"/>
    <s v="23.01"/>
    <x v="110"/>
    <s v="jmcgovern"/>
    <d v="2023-05-31T15:13:12"/>
    <s v=""/>
    <s v=""/>
    <s v="CRT Transaction"/>
    <b v="1"/>
    <s v="Rev"/>
    <n v="0"/>
    <n v="0"/>
    <n v="18343.009999999998"/>
    <n v="-18343.009999999998"/>
    <s v="01"/>
    <s v="000"/>
    <s v="1220"/>
    <s v="202300"/>
    <s v="0000"/>
  </r>
  <r>
    <x v="1"/>
    <s v="2023 REAL ESTATE TAX RECEIVABLE"/>
    <n v="0"/>
    <n v="3"/>
    <x v="0"/>
    <s v="Receivable5813"/>
    <m/>
    <s v=""/>
    <n v="5813"/>
    <x v="192"/>
    <s v="23.01"/>
    <x v="112"/>
    <s v="jmcgovern"/>
    <d v="2023-06-06T11:17:40"/>
    <s v=""/>
    <s v=""/>
    <s v="CRT Transaction"/>
    <b v="1"/>
    <s v="Rev"/>
    <n v="0"/>
    <n v="0"/>
    <n v="316502.12"/>
    <n v="-316502.12"/>
    <s v="01"/>
    <s v="000"/>
    <s v="1220"/>
    <s v="202300"/>
    <s v="0000"/>
  </r>
  <r>
    <x v="1"/>
    <s v="2023 REAL ESTATE TAX RECEIVABLE"/>
    <n v="0"/>
    <n v="3"/>
    <x v="0"/>
    <s v="Receivable5952"/>
    <m/>
    <s v=""/>
    <n v="5952"/>
    <x v="193"/>
    <s v="23.01"/>
    <x v="113"/>
    <s v="jmcgovern"/>
    <d v="2023-06-06T11:21:48"/>
    <s v=""/>
    <s v=""/>
    <s v="CRT Transaction"/>
    <b v="1"/>
    <s v="Rev"/>
    <n v="0"/>
    <n v="0"/>
    <n v="785215.01"/>
    <n v="-785215.01"/>
    <s v="01"/>
    <s v="000"/>
    <s v="1220"/>
    <s v="202300"/>
    <s v="0000"/>
  </r>
  <r>
    <x v="1"/>
    <s v="2023 REAL ESTATE TAX RECEIVABLE"/>
    <n v="0"/>
    <n v="3"/>
    <x v="0"/>
    <s v="Receivable5815"/>
    <m/>
    <s v=""/>
    <n v="5815"/>
    <x v="194"/>
    <s v="23.01"/>
    <x v="114"/>
    <s v="jmcgovern"/>
    <d v="2023-06-06T11:29:42"/>
    <s v=""/>
    <s v=""/>
    <s v="CRT Transaction"/>
    <b v="1"/>
    <s v="Rev"/>
    <n v="0"/>
    <n v="0"/>
    <n v="130246.49"/>
    <n v="-130246.49"/>
    <s v="01"/>
    <s v="000"/>
    <s v="1220"/>
    <s v="202300"/>
    <s v="0000"/>
  </r>
  <r>
    <x v="1"/>
    <s v="2023 REAL ESTATE TAX RECEIVABLE"/>
    <n v="0"/>
    <n v="3"/>
    <x v="0"/>
    <s v="Receivable5847"/>
    <m/>
    <s v=""/>
    <n v="5847"/>
    <x v="195"/>
    <s v="23.01"/>
    <x v="115"/>
    <s v="jmcgovern"/>
    <d v="2023-06-06T11:50:48"/>
    <s v=""/>
    <s v=""/>
    <s v="CRT Transaction"/>
    <b v="1"/>
    <s v="Rev"/>
    <n v="0"/>
    <n v="0"/>
    <n v="443083.59"/>
    <n v="-443083.59"/>
    <s v="01"/>
    <s v="000"/>
    <s v="1220"/>
    <s v="202300"/>
    <s v="0000"/>
  </r>
  <r>
    <x v="1"/>
    <s v="2023 REAL ESTATE TAX RECEIVABLE"/>
    <n v="0"/>
    <n v="3"/>
    <x v="0"/>
    <s v="Receivable5848"/>
    <m/>
    <s v=""/>
    <n v="5848"/>
    <x v="196"/>
    <s v="23.01"/>
    <x v="101"/>
    <s v="jmcgovern"/>
    <d v="2023-06-07T13:52:54"/>
    <s v=""/>
    <s v=""/>
    <s v="CRT Transaction"/>
    <b v="1"/>
    <s v="Rev"/>
    <n v="0"/>
    <n v="0"/>
    <n v="98455.78"/>
    <n v="-98455.78"/>
    <s v="01"/>
    <s v="000"/>
    <s v="1220"/>
    <s v="202300"/>
    <s v="0000"/>
  </r>
  <r>
    <x v="1"/>
    <s v="2023 REAL ESTATE TAX RECEIVABLE"/>
    <n v="0"/>
    <n v="3"/>
    <x v="0"/>
    <s v="Receivable5891"/>
    <m/>
    <s v=""/>
    <n v="5891"/>
    <x v="201"/>
    <s v="23.02"/>
    <x v="101"/>
    <s v="jmcgovern"/>
    <d v="2023-06-07T13:57:12"/>
    <s v=""/>
    <s v=""/>
    <s v="CRT Transaction"/>
    <b v="1"/>
    <s v="Rev"/>
    <n v="0"/>
    <n v="0"/>
    <n v="119664.18"/>
    <n v="-119664.18"/>
    <s v="01"/>
    <s v="000"/>
    <s v="1220"/>
    <s v="202300"/>
    <s v="0000"/>
  </r>
  <r>
    <x v="1"/>
    <s v="2023 REAL ESTATE TAX RECEIVABLE"/>
    <n v="0"/>
    <n v="3"/>
    <x v="0"/>
    <s v="Receivable6302"/>
    <m/>
    <s v=""/>
    <n v="6302"/>
    <x v="197"/>
    <s v="23.02"/>
    <x v="116"/>
    <s v="jmcgovern"/>
    <d v="2023-06-13T14:01:45"/>
    <s v=""/>
    <s v=""/>
    <s v="CRT Transaction"/>
    <b v="1"/>
    <s v="Rev"/>
    <n v="0"/>
    <n v="0"/>
    <n v="9097.4"/>
    <n v="-9097.4"/>
    <s v="01"/>
    <s v="000"/>
    <s v="1220"/>
    <s v="202300"/>
    <s v="0000"/>
  </r>
  <r>
    <x v="1"/>
    <s v="2023 REAL ESTATE TAX RECEIVABLE"/>
    <n v="0"/>
    <n v="3"/>
    <x v="0"/>
    <s v="Receivable6303"/>
    <m/>
    <s v=""/>
    <n v="6303"/>
    <x v="198"/>
    <s v="23.02"/>
    <x v="117"/>
    <s v="jmcgovern"/>
    <d v="2023-06-13T14:14:48"/>
    <s v=""/>
    <s v=""/>
    <s v="CRT Transaction"/>
    <b v="1"/>
    <s v="Rev"/>
    <n v="0"/>
    <n v="2792.22"/>
    <n v="0"/>
    <n v="2792.22"/>
    <s v="01"/>
    <s v="000"/>
    <s v="1220"/>
    <s v="202300"/>
    <s v="0000"/>
  </r>
  <r>
    <x v="1"/>
    <s v="2023 REAL ESTATE TAX RECEIVABLE"/>
    <n v="0"/>
    <n v="3"/>
    <x v="0"/>
    <s v="Receivable6307"/>
    <m/>
    <s v=""/>
    <n v="6307"/>
    <x v="199"/>
    <s v="23.03"/>
    <x v="118"/>
    <s v="jmcgovern"/>
    <d v="2023-06-14T12:20:54"/>
    <s v=""/>
    <s v=""/>
    <s v="CRT Transaction"/>
    <b v="1"/>
    <s v="Rev"/>
    <n v="0"/>
    <n v="0"/>
    <n v="2999.54"/>
    <n v="-2999.54"/>
    <s v="01"/>
    <s v="000"/>
    <s v="1220"/>
    <s v="202300"/>
    <s v="0000"/>
  </r>
  <r>
    <x v="1"/>
    <s v="2023 REAL ESTATE TAX RECEIVABLE"/>
    <n v="0"/>
    <n v="3"/>
    <x v="0"/>
    <s v="Receivable6087"/>
    <m/>
    <s v=""/>
    <n v="6087"/>
    <x v="200"/>
    <s v="23.03"/>
    <x v="119"/>
    <s v="jmcgovern"/>
    <d v="2023-06-15T10:20:05"/>
    <s v=""/>
    <s v=""/>
    <s v="CRT Transaction"/>
    <b v="1"/>
    <s v="Rev"/>
    <n v="0"/>
    <n v="0"/>
    <n v="84785.31"/>
    <n v="-84785.31"/>
    <s v="01"/>
    <s v="000"/>
    <s v="1220"/>
    <s v="202300"/>
    <s v="0000"/>
  </r>
  <r>
    <x v="1"/>
    <s v="2023 REAL ESTATE TAX RECEIVABLE"/>
    <n v="0"/>
    <n v="3"/>
    <x v="0"/>
    <s v="Receivable5893"/>
    <m/>
    <s v=""/>
    <n v="5893"/>
    <x v="202"/>
    <s v="23.02"/>
    <x v="101"/>
    <s v="jmcgovern"/>
    <d v="2023-06-07T14:02:26"/>
    <s v=""/>
    <s v=""/>
    <s v="CRT Transaction"/>
    <b v="1"/>
    <s v="Rev"/>
    <n v="0"/>
    <n v="0"/>
    <n v="2634169.7000000002"/>
    <n v="-2634169.7000000002"/>
    <s v="01"/>
    <s v="000"/>
    <s v="1220"/>
    <s v="202300"/>
    <s v="0000"/>
  </r>
  <r>
    <x v="1"/>
    <s v="2023 REAL ESTATE TAX RECEIVABLE"/>
    <n v="0"/>
    <n v="3"/>
    <x v="0"/>
    <s v="Receivable6077"/>
    <m/>
    <s v=""/>
    <n v="6077"/>
    <x v="203"/>
    <s v="23.03"/>
    <x v="120"/>
    <s v="jmcgovern"/>
    <d v="2023-06-14T13:41:29"/>
    <s v=""/>
    <s v=""/>
    <s v="CRT Transaction"/>
    <b v="1"/>
    <s v="Rev"/>
    <n v="0"/>
    <n v="0"/>
    <n v="6287.65"/>
    <n v="-6287.65"/>
    <s v="01"/>
    <s v="000"/>
    <s v="1220"/>
    <s v="202300"/>
    <s v="0000"/>
  </r>
  <r>
    <x v="1"/>
    <s v="2023 REAL ESTATE TAX RECEIVABLE"/>
    <n v="0"/>
    <n v="3"/>
    <x v="0"/>
    <s v="Receivable6314"/>
    <m/>
    <s v=""/>
    <n v="6314"/>
    <x v="204"/>
    <s v="23.03"/>
    <x v="121"/>
    <s v="jmcgovern"/>
    <d v="2023-06-15T11:31:45"/>
    <s v=""/>
    <s v=""/>
    <s v="CRT Transaction"/>
    <b v="1"/>
    <s v="Rev"/>
    <n v="0"/>
    <n v="4840.05"/>
    <n v="0"/>
    <n v="4840.05"/>
    <s v="01"/>
    <s v="000"/>
    <s v="1220"/>
    <s v="202300"/>
    <s v="0000"/>
  </r>
  <r>
    <x v="1"/>
    <s v="2023 REAL ESTATE TAX RECEIVABLE"/>
    <n v="0"/>
    <n v="3"/>
    <x v="0"/>
    <s v="Receivable6315"/>
    <m/>
    <s v=""/>
    <n v="6315"/>
    <x v="205"/>
    <s v="23.03"/>
    <x v="121"/>
    <s v="jmcgovern"/>
    <d v="2023-06-15T11:33:44"/>
    <s v=""/>
    <s v=""/>
    <s v="CRT Transaction"/>
    <b v="1"/>
    <s v="Rev"/>
    <n v="0"/>
    <n v="3691.41"/>
    <n v="0"/>
    <n v="3691.41"/>
    <s v="01"/>
    <s v="000"/>
    <s v="1220"/>
    <s v="202300"/>
    <s v="0000"/>
  </r>
  <r>
    <x v="1"/>
    <s v="2023 REAL ESTATE TAX RECEIVABLE"/>
    <n v="0"/>
    <n v="3"/>
    <x v="0"/>
    <s v="Receivable6213"/>
    <m/>
    <s v=""/>
    <n v="6213"/>
    <x v="206"/>
    <s v="23.04"/>
    <x v="122"/>
    <s v="jmcgovern"/>
    <d v="2023-06-21T09:31:28"/>
    <s v=""/>
    <s v=""/>
    <s v="CRT Transaction"/>
    <b v="1"/>
    <s v="Rev"/>
    <n v="0"/>
    <n v="0"/>
    <n v="219204.06"/>
    <n v="-219204.06"/>
    <s v="01"/>
    <s v="000"/>
    <s v="1220"/>
    <s v="202300"/>
    <s v="0000"/>
  </r>
  <r>
    <x v="1"/>
    <s v="2023 REAL ESTATE TAX RECEIVABLE"/>
    <n v="0"/>
    <n v="3"/>
    <x v="0"/>
    <s v="Receivable6259"/>
    <m/>
    <s v=""/>
    <n v="6259"/>
    <x v="209"/>
    <s v="23.04"/>
    <x v="125"/>
    <s v="jmcgovern"/>
    <d v="2023-06-21T11:20:26"/>
    <s v=""/>
    <s v=""/>
    <s v="CRT Transaction"/>
    <b v="1"/>
    <s v="Rev"/>
    <n v="0"/>
    <n v="0"/>
    <n v="154206.14000000001"/>
    <n v="-154206.14000000001"/>
    <s v="01"/>
    <s v="000"/>
    <s v="1220"/>
    <s v="202300"/>
    <s v="0000"/>
  </r>
  <r>
    <x v="1"/>
    <s v="2023 REAL ESTATE TAX RECEIVABLE"/>
    <n v="0"/>
    <n v="2"/>
    <x v="2"/>
    <s v="Payable6531"/>
    <n v="344"/>
    <s v="52A-AP063023"/>
    <n v="6531"/>
    <x v="210"/>
    <s v="52A-FY23"/>
    <x v="0"/>
    <s v="NRigano"/>
    <d v="2023-07-17T12:59:39"/>
    <s v="KISER%JOY J."/>
    <s v="RE-REFUND INTEREST"/>
    <s v="62 FARM Q4 INTEREST &amp; FEE FUND"/>
    <b v="1"/>
    <s v="Rev"/>
    <n v="0"/>
    <n v="345.77"/>
    <n v="0"/>
    <n v="345.77"/>
    <s v="01"/>
    <s v="000"/>
    <s v="1220"/>
    <s v="202300"/>
    <s v="0000"/>
  </r>
  <r>
    <x v="1"/>
    <s v="2023 REAL ESTATE TAX RECEIVABLE"/>
    <n v="0"/>
    <n v="3"/>
    <x v="0"/>
    <s v="Receivable6260"/>
    <m/>
    <s v=""/>
    <n v="6260"/>
    <x v="211"/>
    <s v="23.04"/>
    <x v="126"/>
    <s v="jmcgovern"/>
    <d v="2023-06-21T11:21:06"/>
    <s v=""/>
    <s v=""/>
    <s v="CRT Transaction"/>
    <b v="1"/>
    <s v="Rev"/>
    <n v="0"/>
    <n v="0"/>
    <n v="104541.61"/>
    <n v="-104541.61"/>
    <s v="01"/>
    <s v="000"/>
    <s v="1220"/>
    <s v="202300"/>
    <s v="0000"/>
  </r>
  <r>
    <x v="1"/>
    <s v="2023 REAL ESTATE TAX RECEIVABLE"/>
    <n v="0"/>
    <n v="3"/>
    <x v="0"/>
    <s v="Receivable6261"/>
    <m/>
    <s v=""/>
    <n v="6261"/>
    <x v="212"/>
    <s v="23.04"/>
    <x v="127"/>
    <s v="jmcgovern"/>
    <d v="2023-06-21T11:21:40"/>
    <s v=""/>
    <s v=""/>
    <s v="CRT Transaction"/>
    <b v="1"/>
    <s v="Rev"/>
    <n v="0"/>
    <n v="0"/>
    <n v="63000.66"/>
    <n v="-63000.66"/>
    <s v="01"/>
    <s v="000"/>
    <s v="1220"/>
    <s v="202300"/>
    <s v="0000"/>
  </r>
  <r>
    <x v="1"/>
    <s v="2023 REAL ESTATE TAX RECEIVABLE"/>
    <n v="0"/>
    <n v="3"/>
    <x v="0"/>
    <s v="Receivable6262"/>
    <m/>
    <s v=""/>
    <n v="6262"/>
    <x v="213"/>
    <s v="23.04"/>
    <x v="128"/>
    <s v="jmcgovern"/>
    <d v="2023-06-21T11:22:04"/>
    <s v=""/>
    <s v=""/>
    <s v="CRT Transaction"/>
    <b v="1"/>
    <s v="Rev"/>
    <n v="0"/>
    <n v="0"/>
    <n v="188729.4"/>
    <n v="-188729.4"/>
    <s v="01"/>
    <s v="000"/>
    <s v="1220"/>
    <s v="202300"/>
    <s v="0000"/>
  </r>
  <r>
    <x v="1"/>
    <s v="2023 REAL ESTATE TAX RECEIVABLE"/>
    <n v="0"/>
    <n v="3"/>
    <x v="0"/>
    <s v="Receivable6669"/>
    <m/>
    <s v=""/>
    <n v="6669"/>
    <x v="214"/>
    <s v="23.04"/>
    <x v="129"/>
    <s v="jmcgovern"/>
    <d v="2023-08-22T11:54:48"/>
    <s v=""/>
    <s v=""/>
    <s v="CRT Transaction"/>
    <b v="1"/>
    <s v="Rev"/>
    <n v="0"/>
    <n v="0"/>
    <n v="2345.5100000000002"/>
    <n v="-2345.5100000000002"/>
    <s v="01"/>
    <s v="000"/>
    <s v="1220"/>
    <s v="202300"/>
    <s v="0000"/>
  </r>
  <r>
    <x v="1"/>
    <s v="2023 REAL ESTATE TAX RECEIVABLE"/>
    <n v="0"/>
    <n v="3"/>
    <x v="0"/>
    <s v="Receivable6476"/>
    <m/>
    <s v=""/>
    <n v="6476"/>
    <x v="215"/>
    <s v="23.06"/>
    <x v="130"/>
    <s v="jmcgovern"/>
    <d v="2023-08-01T10:49:30"/>
    <s v=""/>
    <s v=""/>
    <s v="CRT Transaction"/>
    <b v="1"/>
    <s v="Rev"/>
    <n v="0"/>
    <n v="0"/>
    <n v="3181.92"/>
    <n v="-3181.92"/>
    <s v="01"/>
    <s v="000"/>
    <s v="1220"/>
    <s v="202300"/>
    <s v="0000"/>
  </r>
  <r>
    <x v="1"/>
    <s v="2023 REAL ESTATE TAX RECEIVABLE"/>
    <n v="0"/>
    <n v="3"/>
    <x v="0"/>
    <s v="Receivable6644"/>
    <m/>
    <s v=""/>
    <n v="6644"/>
    <x v="216"/>
    <s v="23.04"/>
    <x v="124"/>
    <s v="jmcgovern"/>
    <d v="2023-08-22T15:29:52"/>
    <s v=""/>
    <s v=""/>
    <s v="CRT Transaction"/>
    <b v="1"/>
    <s v="Rev"/>
    <n v="0"/>
    <n v="0"/>
    <n v="2666945.61"/>
    <n v="-2666945.61"/>
    <s v="01"/>
    <s v="000"/>
    <s v="1220"/>
    <s v="202300"/>
    <s v="0000"/>
  </r>
  <r>
    <x v="1"/>
    <s v="2023 REAL ESTATE TAX RECEIVABLE"/>
    <n v="0"/>
    <n v="3"/>
    <x v="0"/>
    <s v="Receivable6676"/>
    <m/>
    <s v=""/>
    <n v="6676"/>
    <x v="217"/>
    <s v="23.04"/>
    <x v="131"/>
    <s v="jmcgovern"/>
    <d v="2023-08-24T09:19:55"/>
    <s v=""/>
    <s v=""/>
    <s v="CRT Transaction"/>
    <b v="1"/>
    <s v="Rev"/>
    <n v="0"/>
    <n v="0"/>
    <n v="1060072.69"/>
    <n v="-1060072.69"/>
    <s v="01"/>
    <s v="000"/>
    <s v="1220"/>
    <s v="202300"/>
    <s v="0000"/>
  </r>
  <r>
    <x v="1"/>
    <s v="2023 REAL ESTATE TAX RECEIVABLE"/>
    <n v="0"/>
    <n v="3"/>
    <x v="0"/>
    <s v="Receivable6264"/>
    <m/>
    <s v=""/>
    <n v="6264"/>
    <x v="218"/>
    <s v="23.05"/>
    <x v="83"/>
    <s v="jmcgovern"/>
    <d v="2023-09-05T11:57:15"/>
    <s v=""/>
    <s v=""/>
    <s v="CRT Transaction"/>
    <b v="1"/>
    <s v="Rev"/>
    <n v="0"/>
    <n v="0"/>
    <n v="5434.74"/>
    <n v="-5434.74"/>
    <s v="01"/>
    <s v="000"/>
    <s v="1220"/>
    <s v="202300"/>
    <s v="0000"/>
  </r>
  <r>
    <x v="1"/>
    <s v="2023 REAL ESTATE TAX RECEIVABLE"/>
    <n v="0"/>
    <n v="3"/>
    <x v="0"/>
    <s v="Receivable6321"/>
    <m/>
    <s v=""/>
    <n v="6321"/>
    <x v="219"/>
    <s v="23.05"/>
    <x v="132"/>
    <s v="jmcgovern"/>
    <d v="2023-09-05T12:25:12"/>
    <s v=""/>
    <s v=""/>
    <s v="CRT Transaction"/>
    <b v="1"/>
    <s v="Rev"/>
    <n v="0"/>
    <n v="0"/>
    <n v="231351.45"/>
    <n v="-231351.45"/>
    <s v="01"/>
    <s v="000"/>
    <s v="1220"/>
    <s v="202300"/>
    <s v="0000"/>
  </r>
  <r>
    <x v="1"/>
    <s v="2023 REAL ESTATE TAX RECEIVABLE"/>
    <n v="0"/>
    <n v="3"/>
    <x v="0"/>
    <s v="Receivable6699"/>
    <m/>
    <s v=""/>
    <n v="6699"/>
    <x v="220"/>
    <s v="23.05"/>
    <x v="133"/>
    <s v="jmcgovern"/>
    <d v="2023-09-05T12:33:58"/>
    <s v=""/>
    <s v=""/>
    <s v="CRT Transaction"/>
    <b v="1"/>
    <s v="Rev"/>
    <n v="0"/>
    <n v="0"/>
    <n v="29266.91"/>
    <n v="-29266.91"/>
    <s v="01"/>
    <s v="000"/>
    <s v="1220"/>
    <s v="202300"/>
    <s v="0000"/>
  </r>
  <r>
    <x v="1"/>
    <s v="2023 REAL ESTATE TAX RECEIVABLE"/>
    <n v="0"/>
    <n v="3"/>
    <x v="0"/>
    <s v="Receivable6024"/>
    <m/>
    <s v=""/>
    <n v="6024"/>
    <x v="221"/>
    <s v="23.02"/>
    <x v="134"/>
    <s v="jmcgovern"/>
    <d v="2023-09-11T10:25:52"/>
    <s v=""/>
    <s v=""/>
    <s v="CRT Transaction"/>
    <b v="1"/>
    <s v="Rev"/>
    <n v="0"/>
    <n v="0"/>
    <n v="2790.71"/>
    <n v="-2790.71"/>
    <s v="01"/>
    <s v="000"/>
    <s v="1220"/>
    <s v="202300"/>
    <s v="0000"/>
  </r>
  <r>
    <x v="1"/>
    <s v="2023 REAL ESTATE TAX RECEIVABLE"/>
    <n v="0"/>
    <n v="3"/>
    <x v="0"/>
    <s v="Receivable6700"/>
    <m/>
    <s v=""/>
    <n v="6700"/>
    <x v="222"/>
    <s v="23.05"/>
    <x v="133"/>
    <s v="jmcgovern"/>
    <d v="2023-09-05T12:34:58"/>
    <s v=""/>
    <s v=""/>
    <s v="CRT Transaction"/>
    <b v="1"/>
    <s v="Rev"/>
    <n v="0"/>
    <n v="0"/>
    <n v="875"/>
    <n v="-875"/>
    <s v="01"/>
    <s v="000"/>
    <s v="1220"/>
    <s v="202300"/>
    <s v="0000"/>
  </r>
  <r>
    <x v="1"/>
    <s v="2023 REAL ESTATE TAX RECEIVABLE"/>
    <n v="0"/>
    <n v="3"/>
    <x v="0"/>
    <s v="Receivable6701"/>
    <m/>
    <s v=""/>
    <n v="6701"/>
    <x v="223"/>
    <s v="23.05"/>
    <x v="83"/>
    <s v="jmcgovern"/>
    <d v="2023-09-05T12:35:48"/>
    <s v=""/>
    <s v=""/>
    <s v="CRT Transaction"/>
    <b v="1"/>
    <s v="Rev"/>
    <n v="0"/>
    <n v="3487.08"/>
    <n v="0"/>
    <n v="3487.08"/>
    <s v="01"/>
    <s v="000"/>
    <s v="1220"/>
    <s v="202300"/>
    <s v="0000"/>
  </r>
  <r>
    <x v="1"/>
    <s v="2023 REAL ESTATE TAX RECEIVABLE"/>
    <n v="0"/>
    <n v="3"/>
    <x v="0"/>
    <s v="Receivable6224"/>
    <m/>
    <s v=""/>
    <n v="6224"/>
    <x v="207"/>
    <s v="23.04"/>
    <x v="123"/>
    <s v="jmcgovern"/>
    <d v="2023-06-21T09:32:02"/>
    <s v=""/>
    <s v=""/>
    <s v="CRT Transaction"/>
    <b v="1"/>
    <s v="Rev"/>
    <n v="0"/>
    <n v="0"/>
    <n v="62780.54"/>
    <n v="-62780.54"/>
    <s v="01"/>
    <s v="000"/>
    <s v="1220"/>
    <s v="202300"/>
    <s v="0000"/>
  </r>
  <r>
    <x v="1"/>
    <s v="2023 REAL ESTATE TAX RECEIVABLE"/>
    <n v="0"/>
    <n v="3"/>
    <x v="0"/>
    <s v="Receivable5818"/>
    <m/>
    <s v=""/>
    <n v="5818"/>
    <x v="224"/>
    <s v="23.02"/>
    <x v="101"/>
    <s v="jmcgovern"/>
    <d v="2023-06-07T14:51:41"/>
    <s v=""/>
    <s v=""/>
    <s v="CRT Transaction"/>
    <b v="1"/>
    <s v="Rev"/>
    <n v="0"/>
    <n v="0"/>
    <n v="58621.07"/>
    <n v="-58621.07"/>
    <s v="01"/>
    <s v="000"/>
    <s v="1220"/>
    <s v="202300"/>
    <s v="0000"/>
  </r>
  <r>
    <x v="1"/>
    <s v="2023 REAL ESTATE TAX RECEIVABLE"/>
    <n v="0"/>
    <n v="3"/>
    <x v="0"/>
    <s v="Receivable5832"/>
    <m/>
    <s v=""/>
    <n v="5832"/>
    <x v="225"/>
    <s v="23.02"/>
    <x v="101"/>
    <s v="jmcgovern"/>
    <d v="2023-06-07T14:55:13"/>
    <s v=""/>
    <s v=""/>
    <s v="CRT Transaction"/>
    <b v="1"/>
    <s v="Rev"/>
    <n v="0"/>
    <n v="0"/>
    <n v="14643.82"/>
    <n v="-14643.82"/>
    <s v="01"/>
    <s v="000"/>
    <s v="1220"/>
    <s v="202300"/>
    <s v="0000"/>
  </r>
  <r>
    <x v="1"/>
    <s v="2023 REAL ESTATE TAX RECEIVABLE"/>
    <n v="0"/>
    <n v="3"/>
    <x v="0"/>
    <s v="Receivable6081"/>
    <m/>
    <s v=""/>
    <n v="6081"/>
    <x v="226"/>
    <s v="23.03"/>
    <x v="135"/>
    <s v="jmcgovern"/>
    <d v="2023-06-14T14:05:38"/>
    <s v=""/>
    <s v=""/>
    <s v="CRT Transaction"/>
    <b v="1"/>
    <s v="Rev"/>
    <n v="0"/>
    <n v="0"/>
    <n v="5268.51"/>
    <n v="-5268.51"/>
    <s v="01"/>
    <s v="000"/>
    <s v="1220"/>
    <s v="202300"/>
    <s v="0000"/>
  </r>
  <r>
    <x v="1"/>
    <s v="2023 REAL ESTATE TAX RECEIVABLE"/>
    <n v="0"/>
    <n v="3"/>
    <x v="0"/>
    <s v="Receivable6098"/>
    <m/>
    <s v=""/>
    <n v="6098"/>
    <x v="227"/>
    <s v="23.03"/>
    <x v="135"/>
    <s v="jmcgovern"/>
    <d v="2023-06-14T14:05:48"/>
    <s v=""/>
    <s v=""/>
    <s v="CRT Transaction"/>
    <b v="1"/>
    <s v="Rev"/>
    <n v="0"/>
    <n v="0"/>
    <n v="5323.6"/>
    <n v="-5323.6"/>
    <s v="01"/>
    <s v="000"/>
    <s v="1220"/>
    <s v="202300"/>
    <s v="0000"/>
  </r>
  <r>
    <x v="1"/>
    <s v="2023 REAL ESTATE TAX RECEIVABLE"/>
    <n v="0"/>
    <n v="3"/>
    <x v="0"/>
    <s v="Receivable6316"/>
    <m/>
    <s v=""/>
    <n v="6316"/>
    <x v="228"/>
    <s v="23.03"/>
    <x v="121"/>
    <s v="jmcgovern"/>
    <d v="2023-06-15T11:34:03"/>
    <s v=""/>
    <s v=""/>
    <s v="CRT Transaction"/>
    <b v="1"/>
    <s v="Rev"/>
    <n v="0"/>
    <n v="860"/>
    <n v="0"/>
    <n v="860"/>
    <s v="01"/>
    <s v="000"/>
    <s v="1220"/>
    <s v="202300"/>
    <s v="0000"/>
  </r>
  <r>
    <x v="1"/>
    <s v="2023 REAL ESTATE TAX RECEIVABLE"/>
    <n v="0"/>
    <n v="3"/>
    <x v="0"/>
    <s v="Receivable6139"/>
    <m/>
    <s v=""/>
    <n v="6139"/>
    <x v="229"/>
    <s v="23.03"/>
    <x v="136"/>
    <s v="jmcgovern"/>
    <d v="2023-06-15T12:35:50"/>
    <s v=""/>
    <s v=""/>
    <s v="CRT Transaction"/>
    <b v="1"/>
    <s v="Rev"/>
    <n v="0"/>
    <n v="0"/>
    <n v="46150.65"/>
    <n v="-46150.65"/>
    <s v="01"/>
    <s v="000"/>
    <s v="1220"/>
    <s v="202300"/>
    <s v="0000"/>
  </r>
  <r>
    <x v="1"/>
    <s v="2023 REAL ESTATE TAX RECEIVABLE"/>
    <n v="0"/>
    <n v="3"/>
    <x v="0"/>
    <s v="Receivable5998"/>
    <m/>
    <s v=""/>
    <n v="5998"/>
    <x v="230"/>
    <s v="23.02"/>
    <x v="137"/>
    <s v="jmcgovern"/>
    <d v="2023-06-20T11:13:24"/>
    <s v=""/>
    <s v=""/>
    <s v="CRT Transaction"/>
    <b v="1"/>
    <s v="Rev"/>
    <n v="0"/>
    <n v="0"/>
    <n v="12728.2"/>
    <n v="-12728.2"/>
    <s v="01"/>
    <s v="000"/>
    <s v="1220"/>
    <s v="202300"/>
    <s v="0000"/>
  </r>
  <r>
    <x v="1"/>
    <s v="2023 REAL ESTATE TAX RECEIVABLE"/>
    <n v="0"/>
    <n v="3"/>
    <x v="0"/>
    <s v="Receivable6225"/>
    <m/>
    <s v=""/>
    <n v="6225"/>
    <x v="231"/>
    <s v="23.04"/>
    <x v="138"/>
    <s v="jmcgovern"/>
    <d v="2023-06-21T09:32:38"/>
    <s v=""/>
    <s v=""/>
    <s v="CRT Transaction"/>
    <b v="1"/>
    <s v="Rev"/>
    <n v="0"/>
    <n v="0"/>
    <n v="63318.879999999997"/>
    <n v="-63318.879999999997"/>
    <s v="01"/>
    <s v="000"/>
    <s v="1220"/>
    <s v="202300"/>
    <s v="0000"/>
  </r>
  <r>
    <x v="1"/>
    <s v="2023 REAL ESTATE TAX RECEIVABLE"/>
    <n v="0"/>
    <n v="3"/>
    <x v="0"/>
    <s v="Receivable6226"/>
    <m/>
    <s v=""/>
    <n v="6226"/>
    <x v="232"/>
    <s v="23.04"/>
    <x v="139"/>
    <s v="jmcgovern"/>
    <d v="2023-06-21T09:33:24"/>
    <s v=""/>
    <s v=""/>
    <s v="CRT Transaction"/>
    <b v="1"/>
    <s v="Rev"/>
    <n v="0"/>
    <n v="0"/>
    <n v="245436.82"/>
    <n v="-245436.82"/>
    <s v="01"/>
    <s v="000"/>
    <s v="1220"/>
    <s v="202300"/>
    <s v="0000"/>
  </r>
  <r>
    <x v="1"/>
    <s v="2023 REAL ESTATE TAX RECEIVABLE"/>
    <n v="0"/>
    <n v="3"/>
    <x v="0"/>
    <s v="Receivable6217"/>
    <m/>
    <s v=""/>
    <n v="6217"/>
    <x v="233"/>
    <s v="23.04"/>
    <x v="140"/>
    <s v="jmcgovern"/>
    <d v="2023-06-21T09:33:47"/>
    <s v=""/>
    <s v=""/>
    <s v="CRT Transaction"/>
    <b v="1"/>
    <s v="Rev"/>
    <n v="0"/>
    <n v="0"/>
    <n v="78883.929999999993"/>
    <n v="-78883.929999999993"/>
    <s v="01"/>
    <s v="000"/>
    <s v="1220"/>
    <s v="202300"/>
    <s v="0000"/>
  </r>
  <r>
    <x v="1"/>
    <s v="2023 REAL ESTATE TAX RECEIVABLE"/>
    <n v="0"/>
    <n v="3"/>
    <x v="0"/>
    <s v="Receivable6240"/>
    <m/>
    <s v=""/>
    <n v="6240"/>
    <x v="234"/>
    <s v="23.04"/>
    <x v="141"/>
    <s v="jmcgovern"/>
    <d v="2023-06-21T09:42:25"/>
    <s v=""/>
    <s v=""/>
    <s v="CRT Transaction"/>
    <b v="1"/>
    <s v="Rev"/>
    <n v="0"/>
    <n v="0"/>
    <n v="63719.01"/>
    <n v="-63719.01"/>
    <s v="01"/>
    <s v="000"/>
    <s v="1220"/>
    <s v="202300"/>
    <s v="0000"/>
  </r>
  <r>
    <x v="1"/>
    <s v="2023 REAL ESTATE TAX RECEIVABLE"/>
    <n v="0"/>
    <n v="3"/>
    <x v="0"/>
    <s v="Receivable5843"/>
    <m/>
    <s v=""/>
    <n v="5843"/>
    <x v="235"/>
    <s v="23.02"/>
    <x v="101"/>
    <s v="jmcgovern"/>
    <d v="2023-06-07T15:02:50"/>
    <s v=""/>
    <s v=""/>
    <s v="CRT Transaction"/>
    <b v="1"/>
    <s v="Rev"/>
    <n v="0"/>
    <n v="0"/>
    <n v="551495.21"/>
    <n v="-551495.21"/>
    <s v="01"/>
    <s v="000"/>
    <s v="1220"/>
    <s v="202300"/>
    <s v="0000"/>
  </r>
  <r>
    <x v="1"/>
    <s v="2023 REAL ESTATE TAX RECEIVABLE"/>
    <n v="0"/>
    <n v="3"/>
    <x v="0"/>
    <s v="Receivable5849"/>
    <m/>
    <s v=""/>
    <n v="5849"/>
    <x v="236"/>
    <s v="23.02"/>
    <x v="142"/>
    <s v="jmcgovern"/>
    <d v="2023-06-07T15:06:24"/>
    <s v=""/>
    <s v=""/>
    <s v="CRT Transaction"/>
    <b v="1"/>
    <s v="Rev"/>
    <n v="0"/>
    <n v="0"/>
    <n v="43800.02"/>
    <n v="-43800.02"/>
    <s v="01"/>
    <s v="000"/>
    <s v="1220"/>
    <s v="202300"/>
    <s v="0000"/>
  </r>
  <r>
    <x v="1"/>
    <s v="2023 REAL ESTATE TAX RECEIVABLE"/>
    <n v="0"/>
    <n v="3"/>
    <x v="0"/>
    <s v="Receivable6317"/>
    <m/>
    <s v=""/>
    <n v="6317"/>
    <x v="237"/>
    <s v="23.03"/>
    <x v="121"/>
    <s v="jmcgovern"/>
    <d v="2023-06-14T14:43:18"/>
    <s v=""/>
    <s v=""/>
    <s v="CRT Transaction"/>
    <b v="1"/>
    <s v="Rev"/>
    <n v="0"/>
    <n v="5899.83"/>
    <n v="0"/>
    <n v="5899.83"/>
    <s v="01"/>
    <s v="000"/>
    <s v="1220"/>
    <s v="202300"/>
    <s v="0000"/>
  </r>
  <r>
    <x v="1"/>
    <s v="2023 REAL ESTATE TAX RECEIVABLE"/>
    <n v="0"/>
    <n v="3"/>
    <x v="0"/>
    <s v="Receivable6140"/>
    <m/>
    <s v=""/>
    <n v="6140"/>
    <x v="238"/>
    <s v="23.03"/>
    <x v="136"/>
    <s v="jmcgovern"/>
    <d v="2023-06-15T12:36:01"/>
    <s v=""/>
    <s v=""/>
    <s v="CRT Transaction"/>
    <b v="1"/>
    <s v="Rev"/>
    <n v="0"/>
    <n v="0"/>
    <n v="2749.44"/>
    <n v="-2749.44"/>
    <s v="01"/>
    <s v="000"/>
    <s v="1220"/>
    <s v="202300"/>
    <s v="0000"/>
  </r>
  <r>
    <x v="1"/>
    <s v="2023 REAL ESTATE TAX RECEIVABLE"/>
    <n v="0"/>
    <n v="3"/>
    <x v="0"/>
    <s v="Receivable6161"/>
    <m/>
    <s v=""/>
    <n v="6161"/>
    <x v="239"/>
    <s v="23.03"/>
    <x v="143"/>
    <s v="jmcgovern"/>
    <d v="2023-06-15T12:36:09"/>
    <s v=""/>
    <s v=""/>
    <s v="CRT Transaction"/>
    <b v="1"/>
    <s v="Rev"/>
    <n v="0"/>
    <n v="0"/>
    <n v="19625.52"/>
    <n v="-19625.52"/>
    <s v="01"/>
    <s v="000"/>
    <s v="1220"/>
    <s v="202300"/>
    <s v="0000"/>
  </r>
  <r>
    <x v="1"/>
    <s v="2023 REAL ESTATE TAX RECEIVABLE"/>
    <n v="0"/>
    <n v="3"/>
    <x v="0"/>
    <s v="Receivable6004"/>
    <m/>
    <s v=""/>
    <n v="6004"/>
    <x v="240"/>
    <s v="23.02"/>
    <x v="144"/>
    <s v="jmcgovern"/>
    <d v="2023-06-20T11:21:46"/>
    <s v=""/>
    <s v=""/>
    <s v="CRT Transaction"/>
    <b v="1"/>
    <s v="Rev"/>
    <n v="0"/>
    <n v="0"/>
    <n v="83125.91"/>
    <n v="-83125.91"/>
    <s v="01"/>
    <s v="000"/>
    <s v="1220"/>
    <s v="202300"/>
    <s v="0000"/>
  </r>
  <r>
    <x v="1"/>
    <s v="2023 REAL ESTATE TAX RECEIVABLE"/>
    <n v="0"/>
    <n v="3"/>
    <x v="0"/>
    <s v="Receivable6180"/>
    <m/>
    <s v=""/>
    <n v="6180"/>
    <x v="241"/>
    <s v="23.02"/>
    <x v="145"/>
    <s v="jmcgovern"/>
    <d v="2023-06-20T11:24:07"/>
    <s v=""/>
    <s v=""/>
    <s v="CRT Transaction"/>
    <b v="1"/>
    <s v="Rev"/>
    <n v="0"/>
    <n v="0"/>
    <n v="1742.8"/>
    <n v="-1742.8"/>
    <s v="01"/>
    <s v="000"/>
    <s v="1220"/>
    <s v="202300"/>
    <s v="0000"/>
  </r>
  <r>
    <x v="1"/>
    <s v="2023 REAL ESTATE TAX RECEIVABLE"/>
    <n v="0"/>
    <n v="3"/>
    <x v="0"/>
    <s v="Receivable6239"/>
    <m/>
    <s v=""/>
    <n v="6239"/>
    <x v="242"/>
    <s v="23.04"/>
    <x v="146"/>
    <s v="jmcgovern"/>
    <d v="2023-06-21T09:42:54"/>
    <s v=""/>
    <s v=""/>
    <s v="CRT Transaction"/>
    <b v="1"/>
    <s v="Rev"/>
    <n v="0"/>
    <n v="10923.68"/>
    <n v="0"/>
    <n v="10923.68"/>
    <s v="01"/>
    <s v="000"/>
    <s v="1220"/>
    <s v="202300"/>
    <s v="0000"/>
  </r>
  <r>
    <x v="1"/>
    <s v="2023 REAL ESTATE TAX RECEIVABLE"/>
    <n v="0"/>
    <n v="3"/>
    <x v="0"/>
    <s v="Receivable6429"/>
    <m/>
    <s v=""/>
    <n v="6429"/>
    <x v="243"/>
    <s v="23.03"/>
    <x v="124"/>
    <s v="jmcgovern"/>
    <d v="2023-06-21T09:46:17"/>
    <s v=""/>
    <s v=""/>
    <s v=""/>
    <b v="1"/>
    <s v="Rev"/>
    <n v="0"/>
    <n v="0"/>
    <n v="13083.5"/>
    <n v="-13083.5"/>
    <s v="01"/>
    <s v="000"/>
    <s v="1220"/>
    <s v="202300"/>
    <s v="0000"/>
  </r>
  <r>
    <x v="1"/>
    <s v="2023 REAL ESTATE TAX RECEIVABLE"/>
    <n v="0"/>
    <n v="3"/>
    <x v="0"/>
    <s v="Receivable6423"/>
    <m/>
    <s v=""/>
    <n v="6423"/>
    <x v="235"/>
    <s v="23.02"/>
    <x v="96"/>
    <s v="jmcgovern"/>
    <d v="2023-06-20T11:28:59"/>
    <s v=""/>
    <s v=""/>
    <s v=""/>
    <b v="1"/>
    <s v="Rev"/>
    <n v="0"/>
    <n v="3006.83"/>
    <n v="0"/>
    <n v="3006.83"/>
    <s v="01"/>
    <s v="000"/>
    <s v="1220"/>
    <s v="202300"/>
    <s v="0000"/>
  </r>
  <r>
    <x v="1"/>
    <s v="2023 REAL ESTATE TAX RECEIVABLE"/>
    <n v="0"/>
    <n v="3"/>
    <x v="0"/>
    <s v="Receivable6425"/>
    <m/>
    <s v=""/>
    <n v="6425"/>
    <x v="236"/>
    <s v="23.02"/>
    <x v="116"/>
    <s v="jmcgovern"/>
    <d v="2023-06-20T11:31:45"/>
    <s v=""/>
    <s v=""/>
    <s v=""/>
    <b v="1"/>
    <s v="Rev"/>
    <n v="0"/>
    <n v="4761.96"/>
    <n v="0"/>
    <n v="4761.96"/>
    <s v="01"/>
    <s v="000"/>
    <s v="1220"/>
    <s v="202300"/>
    <s v="0000"/>
  </r>
  <r>
    <x v="1"/>
    <s v="2023 REAL ESTATE TAX RECEIVABLE"/>
    <n v="0"/>
    <n v="3"/>
    <x v="0"/>
    <s v="Receivable6424"/>
    <m/>
    <s v=""/>
    <n v="6424"/>
    <x v="244"/>
    <s v="23.02"/>
    <x v="118"/>
    <s v="jmcgovern"/>
    <d v="2023-06-20T11:34:57"/>
    <s v=""/>
    <s v=""/>
    <s v=""/>
    <b v="1"/>
    <s v="Rev"/>
    <n v="0"/>
    <n v="0"/>
    <n v="4761.96"/>
    <n v="-4761.96"/>
    <s v="01"/>
    <s v="000"/>
    <s v="1220"/>
    <s v="202300"/>
    <s v="0000"/>
  </r>
  <r>
    <x v="1"/>
    <s v="2023 REAL ESTATE TAX RECEIVABLE"/>
    <n v="0"/>
    <n v="3"/>
    <x v="0"/>
    <s v="Receivable5885"/>
    <m/>
    <s v=""/>
    <n v="5885"/>
    <x v="245"/>
    <s v="23.02"/>
    <x v="101"/>
    <s v="jmcgovern"/>
    <d v="2023-06-13T13:41:57"/>
    <s v=""/>
    <s v=""/>
    <s v="CRT Transaction"/>
    <b v="1"/>
    <s v="Rev"/>
    <n v="0"/>
    <n v="0"/>
    <n v="37962.839999999997"/>
    <n v="-37962.839999999997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770 CHESTNUT STREET LLC"/>
    <s v="1211"/>
    <s v="» Bill Yr: 2023 Prop Loc: DEDHAM ST Parcel ID: 8-4-0"/>
    <b v="1"/>
    <s v="Rev"/>
    <n v="0"/>
    <n v="450.98"/>
    <n v="0"/>
    <n v="450.98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ARMSTRONG UGO + ELSA"/>
    <s v="60"/>
    <s v="» Bill Yr: 2023 Prop Loc: -OFF GLEN ST Parcel ID: 9-10-0"/>
    <b v="1"/>
    <s v="Rev"/>
    <n v="0"/>
    <n v="23.66"/>
    <n v="0"/>
    <n v="23.66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ARNOLD OLIVIA S TRUSTEE +"/>
    <s v="2043"/>
    <s v="» Bill Yr: 2023 Prop Loc: -OFF CENTRE ST Parcel ID: 11-123-F"/>
    <b v="1"/>
    <s v="Rev"/>
    <n v="0"/>
    <n v="142.31"/>
    <n v="0"/>
    <n v="142.31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BADERTSCHER KENNETH P +"/>
    <s v="76"/>
    <s v="» Bill Yr: 2023 Prop Loc: 4 HUGHES LANE Parcel ID: 12-66-H"/>
    <b v="1"/>
    <s v="Rev"/>
    <n v="0"/>
    <n v="18.05"/>
    <n v="0"/>
    <n v="18.05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BAIN SAMUEL E + JANET G"/>
    <s v="82"/>
    <s v="» Bill Yr: 2023 Prop Loc: POWISSETT ST Parcel ID: 18-153-0"/>
    <b v="1"/>
    <s v="Rev"/>
    <n v="0"/>
    <n v="1159.5"/>
    <n v="0"/>
    <n v="1159.5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BEAN ELENA A TRUSTEE +"/>
    <s v="129"/>
    <s v="» Bill Yr: 2023 Prop Loc: HAVEN ST Parcel ID: 5-160-0"/>
    <b v="1"/>
    <s v="Rev"/>
    <n v="0"/>
    <n v="308.73"/>
    <n v="0"/>
    <n v="308.73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BLACKBURN ELLEN M + GLENN J"/>
    <s v="169"/>
    <s v="» Bill Yr: 2023 Prop Loc: -OFF TUBWRECK DR Parcel ID: 24-28-A"/>
    <b v="1"/>
    <s v="Rev"/>
    <n v="0"/>
    <n v="131.77000000000001"/>
    <n v="0"/>
    <n v="131.77000000000001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BOUDREAU ANDRE G + ELIZABETH L"/>
    <s v="200"/>
    <s v="» Bill Yr: 2023 Prop Loc: MAIN ST Parcel ID: 4-6-0"/>
    <b v="1"/>
    <s v="Rev"/>
    <n v="0"/>
    <n v="103.96"/>
    <n v="0"/>
    <n v="103.96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BOYLAN DANIEL J JR + DOROTHY L"/>
    <s v="211"/>
    <s v="» Bill Yr: 2023 Prop Loc: FARM ST Parcel ID: 10-35-0"/>
    <b v="1"/>
    <s v="Rev"/>
    <n v="0"/>
    <n v="110.31"/>
    <n v="0"/>
    <n v="110.31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BRANNELLY PAUL JOSEPH +"/>
    <s v="230"/>
    <s v="» Bill Yr: 2023 Prop Loc: WALPOLE ST Parcel ID: 18-18-A"/>
    <b v="1"/>
    <s v="Rev"/>
    <n v="0"/>
    <n v="63.44"/>
    <n v="0"/>
    <n v="63.44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BRENNAN AOIFE +"/>
    <s v="1478"/>
    <s v="» Bill Yr: 2023 Prop Loc: PEGAN LN Parcel ID: 10-29-0"/>
    <b v="1"/>
    <s v="Rev"/>
    <n v="0"/>
    <n v="28.77"/>
    <n v="0"/>
    <n v="28.77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CABOT SARAH ET AL TRUSTEES"/>
    <s v="300"/>
    <s v="» Bill Yr: 2023 Prop Loc: DEDHAM ST Parcel ID: 8-1-0"/>
    <b v="1"/>
    <s v="Rev"/>
    <n v="0"/>
    <n v="311.23"/>
    <n v="0"/>
    <n v="311.23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CABOT WALTER M JR TRUSTEE +"/>
    <s v="303"/>
    <s v="» Bill Yr: 2023 Prop Loc: STRAWBERRY HILL ST Parcel ID: 13-5-0"/>
    <b v="1"/>
    <s v="Rev"/>
    <n v="0"/>
    <n v="1038.28"/>
    <n v="0"/>
    <n v="1038.28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COLONIAL WATER COMPANY"/>
    <s v="409"/>
    <s v="» Bill Yr: 2023 Prop Loc: DRAPER RD Parcel ID: 23-93-J"/>
    <b v="1"/>
    <s v="Rev"/>
    <n v="0"/>
    <n v="1081.93"/>
    <n v="0"/>
    <n v="1081.93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CORRIGAN JAMES M TRUSTEE"/>
    <s v="2137"/>
    <s v="» Bill Yr: 2023 Prop Loc: -OFF FARM ST Parcel ID: 15-31-A"/>
    <b v="1"/>
    <s v="Rev"/>
    <n v="0"/>
    <n v="34.1"/>
    <n v="0"/>
    <n v="34.1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DESPOMARE FRANK +"/>
    <s v="542"/>
    <s v="» Bill Yr: 2023 Prop Loc: -OFF PLEASANT ST Parcel ID: 4-22-B"/>
    <b v="1"/>
    <s v="Rev"/>
    <n v="0"/>
    <n v="1143.69"/>
    <n v="0"/>
    <n v="1143.69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DEVINE JOHN M JR + K EILEEN F"/>
    <s v="547"/>
    <s v="» Bill Yr: 2023 Prop Loc: -OFF MAIN ST Parcel ID: 4-15-A"/>
    <b v="1"/>
    <s v="Rev"/>
    <n v="0"/>
    <n v="75.08"/>
    <n v="0"/>
    <n v="75.08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DOWNS FREDERICK S JR+SADHANA B"/>
    <s v="598"/>
    <s v="» Bill Yr: 2023 Prop Loc: 206 CLAYBROOK RD Parcel ID: 4-5-0"/>
    <b v="1"/>
    <s v="Rev"/>
    <n v="0"/>
    <n v="6026.3"/>
    <n v="0"/>
    <n v="6026.3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DRAKE DEREK M + RACHEL S"/>
    <s v="173"/>
    <s v="» Bill Yr: 2023 Prop Loc: 14 SHERBROOKE DR Parcel ID: 9-43-0"/>
    <b v="1"/>
    <s v="Rev"/>
    <n v="0"/>
    <n v="238.92"/>
    <n v="0"/>
    <n v="238.92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FAN LULU"/>
    <s v="651"/>
    <s v="» Bill Yr: 2023 Prop Loc: EDGEWATER DR Parcel ID: 5-19-A"/>
    <b v="1"/>
    <s v="Rev"/>
    <n v="0"/>
    <n v="79.06"/>
    <n v="0"/>
    <n v="79.06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FOSTER WILLIAM E + MARIAN C"/>
    <s v="716"/>
    <s v="» Bill Yr: 2023 Prop Loc: 8 HAWTHORNE LN 13 Parcel ID: 11-61-13-0"/>
    <b v="1"/>
    <s v="Rev"/>
    <n v="0"/>
    <n v="1488.4"/>
    <n v="0"/>
    <n v="1488.4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FRIEL JOHN + SUZANNE"/>
    <s v="736"/>
    <s v="» Bill Yr: 2023 Prop Loc: WALPOLE ST Parcel ID: 18-124-K"/>
    <b v="1"/>
    <s v="Rev"/>
    <n v="0"/>
    <n v="76.459999999999994"/>
    <n v="0"/>
    <n v="76.459999999999994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GARDINER FLORENCE G TRUSTEE"/>
    <s v="756"/>
    <s v="» Bill Yr: 2023 Prop Loc: -OFF JUNCTION ST Parcel ID: 20-3-0"/>
    <b v="1"/>
    <s v="Rev"/>
    <n v="0"/>
    <n v="2054.9299999999998"/>
    <n v="0"/>
    <n v="2054.9299999999998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GLIDDEN A BOYNTON III TRUSTEE"/>
    <s v="802"/>
    <s v="» Bill Yr: 2023 Prop Loc: CENTRE ST Parcel ID: 17-34-A"/>
    <b v="1"/>
    <s v="Rev"/>
    <n v="0"/>
    <n v="59.99"/>
    <n v="0"/>
    <n v="59.99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HANLEY MICHAEL J + LAURA G"/>
    <s v="921"/>
    <s v="» Bill Yr: 2023 Prop Loc: 164-A CENTRE ST Parcel ID: 21-53-A"/>
    <b v="1"/>
    <s v="Rev"/>
    <n v="0"/>
    <n v="3841.07"/>
    <n v="0"/>
    <n v="3841.07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HAYES KATHLEEN B + DANA J TRS"/>
    <s v="951"/>
    <s v="» Bill Yr: 2023 Prop Loc: -OFF BROOKFIELD RD Parcel ID: 24-66-D"/>
    <b v="1"/>
    <s v="Rev"/>
    <n v="0"/>
    <n v="543.12"/>
    <n v="0"/>
    <n v="543.12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HEESPELINK CHRISTOPHER +"/>
    <s v="961"/>
    <s v="» Bill Yr: 2023 Prop Loc: HARTFORD ST Parcel ID: 24-148-0"/>
    <b v="1"/>
    <s v="Rev"/>
    <n v="0"/>
    <n v="94.87"/>
    <n v="0"/>
    <n v="94.87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HOLZ JOHN B +"/>
    <s v="1013"/>
    <s v="» Bill Yr: 2023 Prop Loc: INDIAN RIDGE RD Parcel ID: 9-11-0"/>
    <b v="1"/>
    <s v="Rev"/>
    <n v="0"/>
    <n v="16.21"/>
    <n v="0"/>
    <n v="16.21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IRELAND KATHRYN M"/>
    <s v="1053"/>
    <s v="» Bill Yr: 2023 Prop Loc: 10 CLOVER CR 19 Parcel ID: 11-61-19-0"/>
    <b v="1"/>
    <s v="Rev"/>
    <n v="0"/>
    <n v="524.16999999999996"/>
    <n v="0"/>
    <n v="524.16999999999996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KARLSON STEVEN E"/>
    <s v="1094"/>
    <s v="» Bill Yr: 2023 Prop Loc: -OFF ADAMS LN Parcel ID: 13-15-A"/>
    <b v="1"/>
    <s v="Rev"/>
    <n v="0"/>
    <n v="1598.26"/>
    <n v="0"/>
    <n v="1598.26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LI HONGTAO +"/>
    <s v="1257"/>
    <s v="» Bill Yr: 2023 Prop Loc: 54 GLEN ST Parcel ID: 9-116-0"/>
    <b v="1"/>
    <s v="Rev"/>
    <n v="0"/>
    <n v="1128.8"/>
    <n v="0"/>
    <n v="1128.8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LI YING LIN"/>
    <s v="1259"/>
    <s v="» Bill Yr: 2023 Prop Loc: 1 CHESTNUT ST Parcel ID: 8-3-0"/>
    <b v="1"/>
    <s v="Rev"/>
    <n v="0"/>
    <n v="1566.41"/>
    <n v="0"/>
    <n v="1566.41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LIFSHATZ STEPHEN +"/>
    <s v="1265"/>
    <s v="» Bill Yr: 2023 Prop Loc: 20 SNOW`S HILL LN Parcel ID: 22-2-D"/>
    <b v="1"/>
    <s v="Rev"/>
    <n v="0"/>
    <n v="10119.85"/>
    <n v="0"/>
    <n v="10119.85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LOBKOWICZ M BROOKS TRUSTEE +"/>
    <s v="1285"/>
    <s v="» Bill Yr: 2023 Prop Loc: DEDHAM ST Parcel ID: 7-13-0"/>
    <b v="1"/>
    <s v="Rev"/>
    <n v="0"/>
    <n v="580.70000000000005"/>
    <n v="0"/>
    <n v="580.70000000000005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MALOOMIAN EVELYN S"/>
    <s v="1361"/>
    <s v="» Bill Yr: 2023 Prop Loc: STRAWBERRY HILL ST Parcel ID: 13-1-A"/>
    <b v="1"/>
    <s v="Rev"/>
    <n v="0"/>
    <n v="117.9"/>
    <n v="0"/>
    <n v="117.9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MCCOY JACQUELINE R TRUSTEE"/>
    <s v="1420"/>
    <s v="» Bill Yr: 2023 Prop Loc: GLEN ST Parcel ID: 9-138-0"/>
    <b v="1"/>
    <s v="Rev"/>
    <n v="0"/>
    <n v="360.21"/>
    <n v="0"/>
    <n v="360.21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MCGINNESS LUCILLE M"/>
    <s v="1436"/>
    <s v="» Bill Yr: 2023 Prop Loc: 7 HAWTHORNE LN 5 Parcel ID: 11-61-05-0"/>
    <b v="1"/>
    <s v="Rev"/>
    <n v="0"/>
    <n v="1075.1600000000001"/>
    <n v="0"/>
    <n v="1075.1600000000001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MCLAUGHLIN MARGARET"/>
    <s v="1738"/>
    <s v="» Bill Yr: 2023 Prop Loc: 3 RIVERSIDE DR Parcel ID: 5-118-0"/>
    <b v="1"/>
    <s v="Rev"/>
    <n v="0"/>
    <n v="740"/>
    <n v="0"/>
    <n v="740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MCVEIGH ANN MARIE TRUSTEE"/>
    <s v="1463"/>
    <s v="» Bill Yr: 2023 Prop Loc: -OFF HARTFORD ST Parcel ID: 24-75-0"/>
    <b v="1"/>
    <s v="Rev"/>
    <n v="0"/>
    <n v="137.1"/>
    <n v="0"/>
    <n v="137.1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NIRMEL KRISHNA"/>
    <s v="1613"/>
    <s v="» Bill Yr: 2023 Prop Loc: 15 MORNINGSIDE DR Parcel ID: 21-13-0"/>
    <b v="1"/>
    <s v="Rev"/>
    <n v="0"/>
    <n v="1299.72"/>
    <n v="0"/>
    <n v="1299.72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OGNIBENE CHARLES A TRUSTEE"/>
    <s v="1638"/>
    <s v="» Bill Yr: 2023 Prop Loc: -OFF WALPOLE ST Parcel ID: 18-126-A"/>
    <b v="1"/>
    <s v="Rev"/>
    <n v="0"/>
    <n v="110.03"/>
    <n v="0"/>
    <n v="110.03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PARADISO SUSAN TRUSTEE +"/>
    <s v="1688"/>
    <s v="» Bill Yr: 2023 Prop Loc: MILLER HILL RD Parcel ID: 16-59-0"/>
    <b v="1"/>
    <s v="Rev"/>
    <n v="0"/>
    <n v="103.31"/>
    <n v="0"/>
    <n v="103.31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PARK YUNG H + CHIKAKO"/>
    <s v="1691"/>
    <s v="» Bill Yr: 2023 Prop Loc: 40 ROLLING LN Parcel ID: 18-103-0"/>
    <b v="1"/>
    <s v="Rev"/>
    <n v="0"/>
    <n v="681.42"/>
    <n v="0"/>
    <n v="681.42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RICHARDSON HENRY S TRUSTEE"/>
    <s v="1814"/>
    <s v="» Bill Yr: 2023 Prop Loc: FARM ST Parcel ID: 15-22-0"/>
    <b v="1"/>
    <s v="Rev"/>
    <n v="0"/>
    <n v="1373.73"/>
    <n v="0"/>
    <n v="1373.73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RODD ELIZABETH A +"/>
    <s v="2018"/>
    <s v="» Bill Yr: 2023 Prop Loc: -OFF HARTFORD ST Parcel ID: 23-93-L"/>
    <b v="1"/>
    <s v="Rev"/>
    <n v="0"/>
    <n v="111.42"/>
    <n v="0"/>
    <n v="111.42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ROGERS WILLIAM P"/>
    <s v="1833"/>
    <s v="» Bill Yr: 2023 Prop Loc: 55 PLEASANT ST Parcel ID: 4-23-0"/>
    <b v="1"/>
    <s v="Rev"/>
    <n v="0"/>
    <n v="7536.58"/>
    <n v="0"/>
    <n v="7536.58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ROLLINS KEVIN B + DEBRA A"/>
    <s v="1835"/>
    <s v="» Bill Yr: 2023 Prop Loc: FARM ST Parcel ID: 10-40-0"/>
    <b v="1"/>
    <s v="Rev"/>
    <n v="0"/>
    <n v="156.5"/>
    <n v="0"/>
    <n v="156.5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RYAN COLLEEN + LOUIS"/>
    <s v="1863"/>
    <s v="» Bill Yr: 2023 Prop Loc: 66 PINE ST Parcel ID: 18-1-E"/>
    <b v="1"/>
    <s v="Rev"/>
    <n v="0"/>
    <n v="279.14999999999998"/>
    <n v="0"/>
    <n v="279.14999999999998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SHALE KEVIN P II +"/>
    <s v="1942"/>
    <s v="» Bill Yr: 2023 Prop Loc: MAIN ST Parcel ID: 5-124-B"/>
    <b v="1"/>
    <s v="Rev"/>
    <n v="0"/>
    <n v="239.85"/>
    <n v="0"/>
    <n v="239.85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SHERIDAN SUZANNE"/>
    <s v="1953"/>
    <s v="» Bill Yr: 2023 Prop Loc: CLAYBROOK RD Parcel ID: 5-5-0"/>
    <b v="1"/>
    <s v="Rev"/>
    <n v="0"/>
    <n v="30.09"/>
    <n v="0"/>
    <n v="30.09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SHERIDAN SUZANNE"/>
    <s v="1955"/>
    <s v="» Bill Yr: 2023 Prop Loc: CLAYBROOK RD Parcel ID: 5-7-A"/>
    <b v="1"/>
    <s v="Rev"/>
    <n v="0"/>
    <n v="122.51"/>
    <n v="0"/>
    <n v="122.51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SHERIDAN SUZANNE"/>
    <s v="1956"/>
    <s v="» Bill Yr: 2023 Prop Loc: CLAYBROOK RD Parcel ID: 5-8-0"/>
    <b v="1"/>
    <s v="Rev"/>
    <n v="0"/>
    <n v="129.08000000000001"/>
    <n v="0"/>
    <n v="129.08000000000001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SULLIVAN IVETA A"/>
    <s v="2067"/>
    <s v="» Bill Yr: 2023 Prop Loc: -OFF HARTFORD ST Parcel ID: 24-147-0"/>
    <b v="1"/>
    <s v="Rev"/>
    <n v="0"/>
    <n v="31.63"/>
    <n v="0"/>
    <n v="31.63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VINIOS JEAN + LOUIS N TRS"/>
    <s v="2201"/>
    <s v="» Bill Yr: 2023 Prop Loc: WILDWOOD RD Parcel ID: 10-5-0"/>
    <b v="1"/>
    <s v="Rev"/>
    <n v="0"/>
    <n v="752.21"/>
    <n v="0"/>
    <n v="752.21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VINIOS JEAN + LOUIS N TRS"/>
    <s v="2200"/>
    <s v="» Bill Yr: 2023 Prop Loc: GLEN ST Parcel ID: 9-142-0"/>
    <b v="1"/>
    <s v="Rev"/>
    <n v="0"/>
    <n v="10964.35"/>
    <n v="0"/>
    <n v="10964.35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VIOLIN JONATHAN D + CHRISTY R"/>
    <s v="1590"/>
    <s v="» Bill Yr: 2023 Prop Loc: MAIN ST Parcel ID: 4-33-0"/>
    <b v="1"/>
    <s v="Rev"/>
    <n v="0"/>
    <n v="101.29"/>
    <n v="0"/>
    <n v="101.29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WANG YU +"/>
    <s v="1569"/>
    <s v="» Bill Yr: 2023 Prop Loc: 2 CIRCLE DR Parcel ID: 5-49-0"/>
    <b v="1"/>
    <s v="Rev"/>
    <n v="0"/>
    <n v="692.39"/>
    <n v="0"/>
    <n v="692.39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WEBB GEORGE P"/>
    <s v="611"/>
    <s v="» Bill Yr: 2023 Prop Loc: 6 HAWTHORNE LN 12 Parcel ID: 11-61-12-0"/>
    <b v="1"/>
    <s v="Rev"/>
    <n v="0"/>
    <n v="1353.09"/>
    <n v="0"/>
    <n v="1353.09"/>
    <s v="01"/>
    <s v="000"/>
    <s v="1220"/>
    <s v="202300"/>
    <s v="0000"/>
  </r>
  <r>
    <x v="1"/>
    <s v="2023 REAL ESTATE TAX RECEIVABLE"/>
    <n v="0"/>
    <n v="2"/>
    <x v="2"/>
    <s v="Payable6417"/>
    <n v="340"/>
    <s v="49-AP061423"/>
    <n v="6417"/>
    <x v="246"/>
    <s v="49-FY23"/>
    <x v="147"/>
    <s v="klaplant"/>
    <d v="2023-06-14T15:25:25"/>
    <s v="XANDO ENTERPRISES LLC"/>
    <s v="1418"/>
    <s v="» Bill Yr: 2023 Prop Loc: FARM ST Parcel ID: 16-29-A"/>
    <b v="1"/>
    <s v="Rev"/>
    <n v="0"/>
    <n v="273.82"/>
    <n v="0"/>
    <n v="273.82"/>
    <s v="01"/>
    <s v="000"/>
    <s v="1220"/>
    <s v="202300"/>
    <s v="0000"/>
  </r>
  <r>
    <x v="1"/>
    <s v="2023 REAL ESTATE TAX RECEIVABLE"/>
    <n v="0"/>
    <n v="3"/>
    <x v="0"/>
    <s v="Receivable6427"/>
    <m/>
    <s v=""/>
    <n v="6427"/>
    <x v="247"/>
    <s v="23.04"/>
    <x v="124"/>
    <s v="jmcgovern"/>
    <d v="2023-06-21T09:48:19"/>
    <s v=""/>
    <s v=""/>
    <s v=""/>
    <b v="1"/>
    <s v="Rev"/>
    <n v="0"/>
    <n v="0"/>
    <n v="153257.26"/>
    <n v="-153257.26"/>
    <s v="01"/>
    <s v="000"/>
    <s v="1220"/>
    <s v="202300"/>
    <s v="0000"/>
  </r>
  <r>
    <x v="1"/>
    <s v="2023 REAL ESTATE TAX RECEIVABLE"/>
    <n v="0"/>
    <n v="3"/>
    <x v="0"/>
    <s v="Receivable6254"/>
    <m/>
    <s v=""/>
    <n v="6254"/>
    <x v="248"/>
    <s v="23.04"/>
    <x v="148"/>
    <s v="jmcgovern"/>
    <d v="2023-06-21T09:49:25"/>
    <s v=""/>
    <s v=""/>
    <s v="CRT Transaction"/>
    <b v="1"/>
    <s v="Rev"/>
    <n v="0"/>
    <n v="0"/>
    <n v="65675.899999999994"/>
    <n v="-65675.899999999994"/>
    <s v="01"/>
    <s v="000"/>
    <s v="1220"/>
    <s v="202300"/>
    <s v="0000"/>
  </r>
  <r>
    <x v="1"/>
    <s v="2023 REAL ESTATE TAX RECEIVABLE"/>
    <n v="0"/>
    <n v="3"/>
    <x v="0"/>
    <s v="Receivable6253"/>
    <m/>
    <s v=""/>
    <n v="6253"/>
    <x v="249"/>
    <s v="23.04"/>
    <x v="149"/>
    <s v="jmcgovern"/>
    <d v="2023-06-21T09:50:15"/>
    <s v=""/>
    <s v=""/>
    <s v="CRT Transaction"/>
    <b v="1"/>
    <s v="Rev"/>
    <n v="0"/>
    <n v="0"/>
    <n v="44925.89"/>
    <n v="-44925.89"/>
    <s v="01"/>
    <s v="000"/>
    <s v="1220"/>
    <s v="202300"/>
    <s v="0000"/>
  </r>
  <r>
    <x v="1"/>
    <s v="2023 REAL ESTATE TAX RECEIVABLE"/>
    <n v="0"/>
    <n v="3"/>
    <x v="0"/>
    <s v="Receivable6255"/>
    <m/>
    <s v=""/>
    <n v="6255"/>
    <x v="250"/>
    <s v="23.04"/>
    <x v="150"/>
    <s v="jmcgovern"/>
    <d v="2023-06-21T09:51:15"/>
    <s v=""/>
    <s v=""/>
    <s v="CRT Transaction"/>
    <b v="1"/>
    <s v="Rev"/>
    <n v="0"/>
    <n v="0"/>
    <n v="189124.69"/>
    <n v="-189124.69"/>
    <s v="01"/>
    <s v="000"/>
    <s v="1220"/>
    <s v="202300"/>
    <s v="0000"/>
  </r>
  <r>
    <x v="1"/>
    <s v="2023 REAL ESTATE TAX RECEIVABLE"/>
    <n v="0"/>
    <n v="3"/>
    <x v="0"/>
    <s v="Receivable6426"/>
    <m/>
    <s v=""/>
    <n v="6426"/>
    <x v="252"/>
    <s v="23.04"/>
    <x v="124"/>
    <s v="jmcgovern"/>
    <d v="2023-06-21T09:55:02"/>
    <s v=""/>
    <s v=""/>
    <s v=""/>
    <b v="1"/>
    <s v="Rev"/>
    <n v="0"/>
    <n v="0"/>
    <n v="125843.24"/>
    <n v="-125843.24"/>
    <s v="01"/>
    <s v="000"/>
    <s v="1220"/>
    <s v="202300"/>
    <s v="0000"/>
  </r>
  <r>
    <x v="1"/>
    <s v="2023 REAL ESTATE TAX RECEIVABLE"/>
    <n v="0"/>
    <n v="3"/>
    <x v="0"/>
    <s v="Receivable6282"/>
    <m/>
    <s v=""/>
    <n v="6282"/>
    <x v="251"/>
    <s v="22.11"/>
    <x v="73"/>
    <s v="jmcgovern"/>
    <d v="2023-06-20T13:23:32"/>
    <s v=""/>
    <s v=""/>
    <s v="CRT Transaction"/>
    <b v="1"/>
    <s v="Rev"/>
    <n v="0"/>
    <n v="0"/>
    <n v="115.49"/>
    <n v="-115.49"/>
    <s v="01"/>
    <s v="000"/>
    <s v="1220"/>
    <s v="202300"/>
    <s v="0000"/>
  </r>
  <r>
    <x v="1"/>
    <s v="2023 REAL ESTATE TAX RECEIVABLE"/>
    <n v="0"/>
    <n v="3"/>
    <x v="0"/>
    <s v="Receivable6421"/>
    <m/>
    <s v=""/>
    <n v="6421"/>
    <x v="253"/>
    <s v="23.03"/>
    <x v="145"/>
    <s v="jmcgovern"/>
    <d v="2023-06-21T11:03:59"/>
    <s v=""/>
    <s v=""/>
    <s v=""/>
    <b v="1"/>
    <s v="Rev"/>
    <n v="0"/>
    <n v="0"/>
    <n v="4501.8"/>
    <n v="-4501.8"/>
    <s v="01"/>
    <s v="000"/>
    <s v="1220"/>
    <s v="202300"/>
    <s v="0000"/>
  </r>
  <r>
    <x v="1"/>
    <s v="2023 REAL ESTATE TAX RECEIVABLE"/>
    <n v="0"/>
    <n v="3"/>
    <x v="0"/>
    <s v="Receivable6212"/>
    <m/>
    <s v=""/>
    <n v="6212"/>
    <x v="254"/>
    <s v="23.04"/>
    <x v="151"/>
    <s v="jmcgovern"/>
    <d v="2023-06-21T11:12:36"/>
    <s v=""/>
    <s v=""/>
    <s v="CRT Transaction"/>
    <b v="1"/>
    <s v="Rev"/>
    <n v="0"/>
    <n v="0"/>
    <n v="82906.789999999994"/>
    <n v="-82906.789999999994"/>
    <s v="01"/>
    <s v="000"/>
    <s v="1220"/>
    <s v="202300"/>
    <s v="0000"/>
  </r>
  <r>
    <x v="1"/>
    <s v="2023 REAL ESTATE TAX RECEIVABLE"/>
    <n v="0"/>
    <n v="3"/>
    <x v="0"/>
    <s v="Receivable6214"/>
    <m/>
    <s v=""/>
    <n v="6214"/>
    <x v="255"/>
    <s v="23.04"/>
    <x v="152"/>
    <s v="jmcgovern"/>
    <d v="2023-06-21T11:13:45"/>
    <s v=""/>
    <s v=""/>
    <s v="CRT Transaction"/>
    <b v="1"/>
    <s v="Rev"/>
    <n v="0"/>
    <n v="0"/>
    <n v="137533.26999999999"/>
    <n v="-137533.26999999999"/>
    <s v="01"/>
    <s v="000"/>
    <s v="1220"/>
    <s v="202300"/>
    <s v="0000"/>
  </r>
  <r>
    <x v="1"/>
    <s v="2023 REAL ESTATE TAX RECEIVABLE"/>
    <n v="0"/>
    <n v="3"/>
    <x v="0"/>
    <s v="Receivable6215"/>
    <m/>
    <s v=""/>
    <n v="6215"/>
    <x v="256"/>
    <s v="23.04"/>
    <x v="146"/>
    <s v="jmcgovern"/>
    <d v="2023-06-21T11:13:56"/>
    <s v=""/>
    <s v=""/>
    <s v="CRT Transaction"/>
    <b v="1"/>
    <s v="Rev"/>
    <n v="0"/>
    <n v="0"/>
    <n v="108277.4"/>
    <n v="-108277.4"/>
    <s v="01"/>
    <s v="000"/>
    <s v="1220"/>
    <s v="202300"/>
    <s v="0000"/>
  </r>
  <r>
    <x v="1"/>
    <s v="2023 REAL ESTATE TAX RECEIVABLE"/>
    <n v="0"/>
    <n v="3"/>
    <x v="0"/>
    <s v="Receivable6216"/>
    <m/>
    <s v=""/>
    <n v="6216"/>
    <x v="257"/>
    <s v="23.04"/>
    <x v="122"/>
    <s v="jmcgovern"/>
    <d v="2023-06-21T11:14:50"/>
    <s v=""/>
    <s v=""/>
    <s v="CRT Transaction"/>
    <b v="1"/>
    <s v="Rev"/>
    <n v="0"/>
    <n v="0"/>
    <n v="124801.51"/>
    <n v="-124801.51"/>
    <s v="01"/>
    <s v="000"/>
    <s v="1220"/>
    <s v="202300"/>
    <s v="0000"/>
  </r>
  <r>
    <x v="1"/>
    <s v="2023 REAL ESTATE TAX RECEIVABLE"/>
    <n v="0"/>
    <n v="3"/>
    <x v="0"/>
    <s v="Receivable6258"/>
    <m/>
    <s v=""/>
    <n v="6258"/>
    <x v="208"/>
    <s v="23.04"/>
    <x v="124"/>
    <s v="jmcgovern"/>
    <d v="2023-06-21T11:19:52"/>
    <s v=""/>
    <s v=""/>
    <s v="CRT Transaction"/>
    <b v="1"/>
    <s v="Rev"/>
    <n v="0"/>
    <n v="0"/>
    <n v="108217.49"/>
    <n v="-108217.49"/>
    <s v="01"/>
    <s v="000"/>
    <s v="1220"/>
    <s v="202300"/>
    <s v="0000"/>
  </r>
  <r>
    <x v="1"/>
    <s v="2023 REAL ESTATE TAX RECEIVABLE"/>
    <n v="0"/>
    <n v="3"/>
    <x v="0"/>
    <s v="Receivable6705"/>
    <m/>
    <s v=""/>
    <n v="6705"/>
    <x v="258"/>
    <s v="23.05"/>
    <x v="153"/>
    <s v="jmcgovern"/>
    <d v="2023-09-05T12:38:11"/>
    <s v=""/>
    <s v=""/>
    <s v="CRT Transaction"/>
    <b v="1"/>
    <s v="Rev"/>
    <n v="0"/>
    <n v="0"/>
    <n v="20691.02"/>
    <n v="-20691.02"/>
    <s v="01"/>
    <s v="000"/>
    <s v="1220"/>
    <s v="202300"/>
    <s v="0000"/>
  </r>
  <r>
    <x v="1"/>
    <s v="2023 REAL ESTATE TAX RECEIVABLE"/>
    <n v="0"/>
    <n v="3"/>
    <x v="0"/>
    <s v="Receivable6719"/>
    <m/>
    <s v=""/>
    <n v="6719"/>
    <x v="259"/>
    <s v="23.05"/>
    <x v="154"/>
    <s v="jmcgovern"/>
    <d v="2023-09-11T12:22:21"/>
    <s v=""/>
    <s v=""/>
    <s v="CRT Transaction"/>
    <b v="1"/>
    <s v="Rev"/>
    <n v="0"/>
    <n v="0"/>
    <n v="464447.5"/>
    <n v="-464447.5"/>
    <s v="01"/>
    <s v="000"/>
    <s v="1220"/>
    <s v="202300"/>
    <s v="0000"/>
  </r>
  <r>
    <x v="1"/>
    <s v="2023 REAL ESTATE TAX RECEIVABLE"/>
    <n v="0"/>
    <n v="3"/>
    <x v="0"/>
    <s v="Receivable6304"/>
    <m/>
    <s v=""/>
    <n v="6304"/>
    <x v="260"/>
    <s v="23.02 Unipay-FEB"/>
    <x v="144"/>
    <s v="jmcgovern"/>
    <d v="2023-09-12T14:16:42"/>
    <s v=""/>
    <s v=""/>
    <s v="CRT Transaction"/>
    <b v="1"/>
    <s v="Rev"/>
    <n v="0"/>
    <n v="0"/>
    <n v="732872.64"/>
    <n v="-732872.64"/>
    <s v="01"/>
    <s v="000"/>
    <s v="1220"/>
    <s v="202300"/>
    <s v="0000"/>
  </r>
  <r>
    <x v="1"/>
    <s v="2023 REAL ESTATE TAX RECEIVABLE"/>
    <n v="0"/>
    <n v="3"/>
    <x v="0"/>
    <s v="Receivable6373"/>
    <m/>
    <s v=""/>
    <n v="6373"/>
    <x v="261"/>
    <s v="23.05"/>
    <x v="155"/>
    <s v="jmcgovern"/>
    <d v="2023-09-05T12:40:52"/>
    <s v=""/>
    <s v=""/>
    <s v="CRT Transaction"/>
    <b v="1"/>
    <s v="Rev"/>
    <n v="0"/>
    <n v="0"/>
    <n v="30362.38"/>
    <n v="-30362.38"/>
    <s v="01"/>
    <s v="000"/>
    <s v="1220"/>
    <s v="202300"/>
    <s v="0000"/>
  </r>
  <r>
    <x v="1"/>
    <s v="2023 REAL ESTATE TAX RECEIVABLE"/>
    <n v="0"/>
    <n v="3"/>
    <x v="0"/>
    <s v="Receivable6720"/>
    <m/>
    <s v=""/>
    <n v="6720"/>
    <x v="262"/>
    <s v="23.06"/>
    <x v="0"/>
    <s v="jmcgovern"/>
    <d v="2023-09-11T12:35:35"/>
    <s v=""/>
    <s v=""/>
    <s v="CRT Transaction"/>
    <b v="1"/>
    <s v="Rev"/>
    <n v="0"/>
    <n v="0"/>
    <n v="3568.16"/>
    <n v="-3568.16"/>
    <s v="01"/>
    <s v="000"/>
    <s v="1220"/>
    <s v="202300"/>
    <s v="0000"/>
  </r>
  <r>
    <x v="1"/>
    <s v="2023 REAL ESTATE TAX RECEIVABLE"/>
    <n v="0"/>
    <n v="3"/>
    <x v="0"/>
    <s v="Receivable6737"/>
    <m/>
    <s v=""/>
    <n v="6737"/>
    <x v="263"/>
    <s v="23.06"/>
    <x v="156"/>
    <s v="jmcgovern"/>
    <d v="2023-09-12T10:41:45"/>
    <s v=""/>
    <s v=""/>
    <s v="CRT Transaction"/>
    <b v="1"/>
    <s v="Rev"/>
    <n v="0"/>
    <n v="0"/>
    <n v="21809.09"/>
    <n v="-21809.09"/>
    <s v="01"/>
    <s v="000"/>
    <s v="1220"/>
    <s v="202300"/>
    <s v="0000"/>
  </r>
  <r>
    <x v="1"/>
    <s v="2023 REAL ESTATE TAX RECEIVABLE"/>
    <n v="0"/>
    <n v="3"/>
    <x v="0"/>
    <s v="Receivable6474"/>
    <m/>
    <s v=""/>
    <n v="6474"/>
    <x v="264"/>
    <s v="23.06"/>
    <x v="157"/>
    <s v="jmcgovern"/>
    <d v="2023-09-18T09:31:00"/>
    <s v=""/>
    <s v=""/>
    <s v="CRT Transaction"/>
    <b v="1"/>
    <s v="Rev"/>
    <n v="0"/>
    <n v="0"/>
    <n v="52369.04"/>
    <n v="-52369.04"/>
    <s v="01"/>
    <s v="000"/>
    <s v="1220"/>
    <s v="202300"/>
    <s v="0000"/>
  </r>
  <r>
    <x v="1"/>
    <s v="2023 REAL ESTATE TAX RECEIVABLE"/>
    <n v="0"/>
    <n v="3"/>
    <x v="0"/>
    <s v="Receivable6263"/>
    <m/>
    <s v=""/>
    <n v="6263"/>
    <x v="265"/>
    <s v="23.04"/>
    <x v="131"/>
    <s v="jmcgovern"/>
    <d v="2023-09-05T12:44:54"/>
    <s v=""/>
    <s v=""/>
    <s v="CRT Transaction"/>
    <b v="1"/>
    <s v="Rev"/>
    <n v="0"/>
    <n v="0"/>
    <n v="74206.83"/>
    <n v="-74206.83"/>
    <s v="01"/>
    <s v="000"/>
    <s v="1220"/>
    <s v="202300"/>
    <s v="0000"/>
  </r>
  <r>
    <x v="1"/>
    <s v="2023 REAL ESTATE TAX RECEIVABLE"/>
    <n v="0"/>
    <n v="3"/>
    <x v="0"/>
    <s v="Receivable6509"/>
    <m/>
    <s v=""/>
    <n v="6509"/>
    <x v="266"/>
    <s v="23.06"/>
    <x v="0"/>
    <s v="jmcgovern"/>
    <d v="2023-09-18T15:46:12"/>
    <s v=""/>
    <s v=""/>
    <s v="CRT Transaction"/>
    <b v="1"/>
    <s v="Rev"/>
    <n v="0"/>
    <n v="0"/>
    <n v="151507.71"/>
    <n v="-151507.71"/>
    <s v="01"/>
    <s v="000"/>
    <s v="1220"/>
    <s v="202300"/>
    <s v="0000"/>
  </r>
  <r>
    <x v="1"/>
    <s v="2023 REAL ESTATE TAX RECEIVABLE"/>
    <n v="0"/>
    <n v="3"/>
    <x v="0"/>
    <s v="Receivable6866"/>
    <m/>
    <s v=""/>
    <n v="6866"/>
    <x v="267"/>
    <s v="23.06"/>
    <x v="0"/>
    <s v="jmcgovern"/>
    <d v="2023-10-19T12:19:55"/>
    <s v=""/>
    <s v=""/>
    <s v="CRT Transaction"/>
    <b v="1"/>
    <s v="Rev"/>
    <n v="0"/>
    <n v="0"/>
    <n v="36119.82"/>
    <n v="-36119.82"/>
    <s v="01"/>
    <s v="000"/>
    <s v="1220"/>
    <s v="202300"/>
    <s v="0000"/>
  </r>
  <r>
    <x v="1"/>
    <s v="2023 REAL ESTATE TAX RECEIVABLE"/>
    <n v="0"/>
    <n v="3"/>
    <x v="0"/>
    <s v="Receivable6179"/>
    <m/>
    <s v=""/>
    <n v="6179"/>
    <x v="268"/>
    <s v="23.04"/>
    <x v="145"/>
    <s v="jmcgovern"/>
    <d v="2023-06-21T09:27:24"/>
    <s v=""/>
    <s v=""/>
    <s v="CRT Transaction"/>
    <b v="1"/>
    <s v="Rev"/>
    <n v="0"/>
    <n v="0"/>
    <n v="12704.29"/>
    <n v="-12704.29"/>
    <s v="01"/>
    <s v="000"/>
    <s v="1220"/>
    <s v="202300"/>
    <s v="0000"/>
  </r>
  <r>
    <x v="1"/>
    <s v="2023 REAL ESTATE TAX RECEIVABLE"/>
    <n v="0"/>
    <n v="3"/>
    <x v="0"/>
    <s v="Receivable6184"/>
    <m/>
    <s v=""/>
    <n v="6184"/>
    <x v="269"/>
    <s v="23.04"/>
    <x v="145"/>
    <s v="jmcgovern"/>
    <d v="2023-06-21T09:29:50"/>
    <s v=""/>
    <s v=""/>
    <s v="CRT Transaction"/>
    <b v="1"/>
    <s v="Rev"/>
    <n v="0"/>
    <n v="0"/>
    <n v="156204.39000000001"/>
    <n v="-156204.39000000001"/>
    <s v="01"/>
    <s v="000"/>
    <s v="1220"/>
    <s v="202300"/>
    <s v="0000"/>
  </r>
  <r>
    <x v="1"/>
    <s v="2023 REAL ESTATE TAX RECEIVABLE"/>
    <n v="0"/>
    <n v="3"/>
    <x v="0"/>
    <s v="Receivable6190"/>
    <m/>
    <s v=""/>
    <n v="6190"/>
    <x v="270"/>
    <s v="23.04"/>
    <x v="158"/>
    <s v="jmcgovern"/>
    <d v="2023-06-21T09:30:17"/>
    <s v=""/>
    <s v=""/>
    <s v="CRT Transaction"/>
    <b v="1"/>
    <s v="Rev"/>
    <n v="0"/>
    <n v="0"/>
    <n v="52079.28"/>
    <n v="-52079.28"/>
    <s v="01"/>
    <s v="000"/>
    <s v="1220"/>
    <s v="202300"/>
    <s v="0000"/>
  </r>
  <r>
    <x v="1"/>
    <s v="2023 REAL ESTATE TAX RECEIVABLE"/>
    <n v="0"/>
    <n v="3"/>
    <x v="0"/>
    <s v="Receivable6198"/>
    <m/>
    <s v=""/>
    <n v="6198"/>
    <x v="271"/>
    <s v="23.04"/>
    <x v="159"/>
    <s v="jmcgovern"/>
    <d v="2023-06-21T09:30:51"/>
    <s v=""/>
    <s v=""/>
    <s v="CRT Transaction"/>
    <b v="1"/>
    <s v="Rev"/>
    <n v="0"/>
    <n v="0"/>
    <n v="164301.73000000001"/>
    <n v="-164301.73000000001"/>
    <s v="01"/>
    <s v="000"/>
    <s v="1220"/>
    <s v="202300"/>
    <s v="0000"/>
  </r>
  <r>
    <x v="1"/>
    <s v="2023 REAL ESTATE TAX RECEIVABLE"/>
    <n v="0"/>
    <n v="1"/>
    <x v="1"/>
    <s v="Journal Entry7411"/>
    <m/>
    <s v=""/>
    <n v="7411"/>
    <x v="280"/>
    <s v="2023 PROP TAX COMMIT"/>
    <x v="163"/>
    <s v="klaplant"/>
    <d v="2024-03-15T11:07:14"/>
    <s v="J23-105"/>
    <s v="629"/>
    <s v="2023 ACTUAL PROPERTY TAX COMMITMENT"/>
    <b v="0"/>
    <s v=""/>
    <n v="0"/>
    <n v="35683545.409999996"/>
    <n v="0"/>
    <n v="35683545.409999996"/>
    <s v="01"/>
    <s v="000"/>
    <s v="1220"/>
    <s v="202300"/>
    <s v="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19C7118-C068-4297-9617-5D6B3B837F97}" name="PivotTable1" cacheId="49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D23" firstHeaderRow="1" firstDataRow="2" firstDataCol="1" rowPageCount="1" colPageCount="1"/>
  <pivotFields count="31">
    <pivotField axis="axisPage" showAll="0">
      <items count="3">
        <item x="0"/>
        <item x="1"/>
        <item t="default"/>
      </items>
    </pivotField>
    <pivotField showAll="0"/>
    <pivotField showAll="0"/>
    <pivotField showAll="0"/>
    <pivotField axis="axisCol" showAll="0">
      <items count="5">
        <item h="1" x="1"/>
        <item x="2"/>
        <item x="0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axis="axisRow" numFmtId="164" showAll="0">
      <items count="168">
        <item x="2"/>
        <item x="4"/>
        <item x="5"/>
        <item x="6"/>
        <item x="3"/>
        <item x="7"/>
        <item x="8"/>
        <item x="9"/>
        <item x="11"/>
        <item x="12"/>
        <item x="10"/>
        <item x="13"/>
        <item x="31"/>
        <item x="14"/>
        <item x="15"/>
        <item x="16"/>
        <item x="17"/>
        <item x="18"/>
        <item x="26"/>
        <item x="19"/>
        <item x="20"/>
        <item x="21"/>
        <item x="22"/>
        <item x="23"/>
        <item x="24"/>
        <item x="25"/>
        <item x="27"/>
        <item x="28"/>
        <item x="29"/>
        <item x="30"/>
        <item x="32"/>
        <item x="33"/>
        <item x="34"/>
        <item x="35"/>
        <item x="36"/>
        <item x="37"/>
        <item x="38"/>
        <item x="39"/>
        <item x="40"/>
        <item x="41"/>
        <item x="43"/>
        <item x="42"/>
        <item x="49"/>
        <item x="44"/>
        <item x="45"/>
        <item x="164"/>
        <item x="46"/>
        <item x="47"/>
        <item x="48"/>
        <item x="50"/>
        <item x="166"/>
        <item x="165"/>
        <item x="55"/>
        <item x="56"/>
        <item x="57"/>
        <item x="51"/>
        <item x="58"/>
        <item x="59"/>
        <item x="69"/>
        <item x="52"/>
        <item x="60"/>
        <item x="61"/>
        <item x="62"/>
        <item x="63"/>
        <item x="53"/>
        <item x="64"/>
        <item x="65"/>
        <item x="66"/>
        <item x="67"/>
        <item x="68"/>
        <item x="54"/>
        <item x="73"/>
        <item x="70"/>
        <item x="74"/>
        <item x="75"/>
        <item x="71"/>
        <item x="76"/>
        <item x="72"/>
        <item x="77"/>
        <item x="160"/>
        <item x="78"/>
        <item x="79"/>
        <item x="80"/>
        <item x="81"/>
        <item x="163"/>
        <item x="82"/>
        <item x="161"/>
        <item x="91"/>
        <item x="92"/>
        <item x="93"/>
        <item x="98"/>
        <item x="99"/>
        <item x="100"/>
        <item x="106"/>
        <item x="107"/>
        <item x="108"/>
        <item x="109"/>
        <item x="110"/>
        <item x="111"/>
        <item x="94"/>
        <item x="95"/>
        <item x="96"/>
        <item x="97"/>
        <item x="112"/>
        <item x="113"/>
        <item x="114"/>
        <item x="115"/>
        <item x="101"/>
        <item x="142"/>
        <item x="117"/>
        <item x="116"/>
        <item x="102"/>
        <item x="103"/>
        <item x="104"/>
        <item x="105"/>
        <item x="137"/>
        <item x="144"/>
        <item x="134"/>
        <item x="120"/>
        <item x="135"/>
        <item x="119"/>
        <item x="121"/>
        <item x="136"/>
        <item x="118"/>
        <item x="143"/>
        <item x="89"/>
        <item x="162"/>
        <item x="145"/>
        <item x="158"/>
        <item x="159"/>
        <item x="151"/>
        <item x="152"/>
        <item x="146"/>
        <item x="122"/>
        <item x="140"/>
        <item x="123"/>
        <item x="138"/>
        <item x="139"/>
        <item x="141"/>
        <item x="149"/>
        <item x="148"/>
        <item x="150"/>
        <item x="124"/>
        <item x="125"/>
        <item x="126"/>
        <item x="127"/>
        <item x="128"/>
        <item x="129"/>
        <item x="131"/>
        <item x="83"/>
        <item x="84"/>
        <item x="85"/>
        <item x="87"/>
        <item x="88"/>
        <item x="132"/>
        <item x="86"/>
        <item x="133"/>
        <item x="153"/>
        <item x="90"/>
        <item x="155"/>
        <item x="154"/>
        <item x="1"/>
        <item x="156"/>
        <item x="147"/>
        <item x="157"/>
        <item x="130"/>
        <item x="0"/>
        <item t="default"/>
      </items>
    </pivotField>
    <pivotField showAll="0"/>
    <pivotField numFmtId="164" showAll="0"/>
    <pivotField showAll="0"/>
    <pivotField showAll="0"/>
    <pivotField showAll="0"/>
    <pivotField showAll="0"/>
    <pivotField showAll="0"/>
    <pivotField numFmtId="165" showAll="0"/>
    <pivotField numFmtId="165" showAll="0"/>
    <pivotField numFmtId="165" showAll="0"/>
    <pivotField dataField="1" numFmtId="165" showAll="0"/>
    <pivotField showAll="0"/>
    <pivotField showAll="0"/>
    <pivotField showAll="0"/>
    <pivotField showAll="0"/>
    <pivotField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x="1"/>
        <item x="2"/>
        <item x="3"/>
        <item x="4"/>
        <item sd="0" x="5"/>
        <item t="default"/>
      </items>
    </pivotField>
    <pivotField axis="axisRow" showAll="0">
      <items count="5">
        <item sd="0" x="0"/>
        <item x="1"/>
        <item x="2"/>
        <item sd="0" x="3"/>
        <item t="default"/>
      </items>
    </pivotField>
  </pivotFields>
  <rowFields count="4">
    <field x="30"/>
    <field x="29"/>
    <field x="28"/>
    <field x="11"/>
  </rowFields>
  <rowItems count="19">
    <i>
      <x v="1"/>
    </i>
    <i r="1">
      <x v="3"/>
    </i>
    <i r="2">
      <x v="7"/>
    </i>
    <i r="2">
      <x v="8"/>
    </i>
    <i r="2">
      <x v="9"/>
    </i>
    <i r="1">
      <x v="4"/>
    </i>
    <i r="2">
      <x v="10"/>
    </i>
    <i r="2">
      <x v="11"/>
    </i>
    <i r="2">
      <x v="12"/>
    </i>
    <i>
      <x v="2"/>
    </i>
    <i r="1">
      <x v="1"/>
    </i>
    <i r="2">
      <x v="1"/>
    </i>
    <i r="2">
      <x v="2"/>
    </i>
    <i r="2">
      <x v="3"/>
    </i>
    <i r="1">
      <x v="2"/>
    </i>
    <i r="2">
      <x v="4"/>
    </i>
    <i r="2">
      <x v="5"/>
    </i>
    <i r="2">
      <x v="6"/>
    </i>
    <i t="grand">
      <x/>
    </i>
  </rowItems>
  <colFields count="1">
    <field x="4"/>
  </colFields>
  <colItems count="3">
    <i>
      <x v="1"/>
    </i>
    <i>
      <x v="2"/>
    </i>
    <i t="grand">
      <x/>
    </i>
  </colItems>
  <pageFields count="1">
    <pageField fld="0" item="1" hier="-1"/>
  </pageFields>
  <dataFields count="1">
    <dataField name="Sum of Ending" fld="22" baseField="0" baseItem="0" numFmtId="43"/>
  </dataFields>
  <formats count="24">
    <format dxfId="23">
      <pivotArea collapsedLevelsAreSubtotals="1" fieldPosition="0">
        <references count="4">
          <reference field="4" count="1" selected="0">
            <x v="0"/>
          </reference>
          <reference field="28" count="1">
            <x v="12"/>
          </reference>
          <reference field="29" count="1" selected="0">
            <x v="4"/>
          </reference>
          <reference field="30" count="1" selected="0">
            <x v="1"/>
          </reference>
        </references>
      </pivotArea>
    </format>
    <format dxfId="22">
      <pivotArea collapsedLevelsAreSubtotals="1" fieldPosition="0">
        <references count="1">
          <reference field="30" count="1">
            <x v="1"/>
          </reference>
        </references>
      </pivotArea>
    </format>
    <format dxfId="21">
      <pivotArea collapsedLevelsAreSubtotals="1" fieldPosition="0">
        <references count="2">
          <reference field="29" count="1">
            <x v="3"/>
          </reference>
          <reference field="30" count="1" selected="0">
            <x v="1"/>
          </reference>
        </references>
      </pivotArea>
    </format>
    <format dxfId="20">
      <pivotArea collapsedLevelsAreSubtotals="1" fieldPosition="0">
        <references count="3">
          <reference field="28" count="1">
            <x v="7"/>
          </reference>
          <reference field="29" count="1" selected="0">
            <x v="3"/>
          </reference>
          <reference field="30" count="1" selected="0">
            <x v="1"/>
          </reference>
        </references>
      </pivotArea>
    </format>
    <format dxfId="19">
      <pivotArea collapsedLevelsAreSubtotals="1" fieldPosition="0">
        <references count="3">
          <reference field="28" count="1">
            <x v="8"/>
          </reference>
          <reference field="29" count="1" selected="0">
            <x v="3"/>
          </reference>
          <reference field="30" count="1" selected="0">
            <x v="1"/>
          </reference>
        </references>
      </pivotArea>
    </format>
    <format dxfId="18">
      <pivotArea collapsedLevelsAreSubtotals="1" fieldPosition="0">
        <references count="3">
          <reference field="28" count="1">
            <x v="9"/>
          </reference>
          <reference field="29" count="1" selected="0">
            <x v="3"/>
          </reference>
          <reference field="30" count="1" selected="0">
            <x v="1"/>
          </reference>
        </references>
      </pivotArea>
    </format>
    <format dxfId="17">
      <pivotArea collapsedLevelsAreSubtotals="1" fieldPosition="0">
        <references count="2">
          <reference field="29" count="1">
            <x v="4"/>
          </reference>
          <reference field="30" count="1" selected="0">
            <x v="1"/>
          </reference>
        </references>
      </pivotArea>
    </format>
    <format dxfId="16">
      <pivotArea collapsedLevelsAreSubtotals="1" fieldPosition="0">
        <references count="3">
          <reference field="28" count="1">
            <x v="10"/>
          </reference>
          <reference field="29" count="1" selected="0">
            <x v="4"/>
          </reference>
          <reference field="30" count="1" selected="0">
            <x v="1"/>
          </reference>
        </references>
      </pivotArea>
    </format>
    <format dxfId="15">
      <pivotArea collapsedLevelsAreSubtotals="1" fieldPosition="0">
        <references count="3">
          <reference field="28" count="1">
            <x v="11"/>
          </reference>
          <reference field="29" count="1" selected="0">
            <x v="4"/>
          </reference>
          <reference field="30" count="1" selected="0">
            <x v="1"/>
          </reference>
        </references>
      </pivotArea>
    </format>
    <format dxfId="14">
      <pivotArea collapsedLevelsAreSubtotals="1" fieldPosition="0">
        <references count="3">
          <reference field="28" count="1">
            <x v="12"/>
          </reference>
          <reference field="29" count="1" selected="0">
            <x v="4"/>
          </reference>
          <reference field="30" count="1" selected="0">
            <x v="1"/>
          </reference>
        </references>
      </pivotArea>
    </format>
    <format dxfId="13">
      <pivotArea collapsedLevelsAreSubtotals="1" fieldPosition="0">
        <references count="1">
          <reference field="30" count="1">
            <x v="2"/>
          </reference>
        </references>
      </pivotArea>
    </format>
    <format dxfId="12">
      <pivotArea collapsedLevelsAreSubtotals="1" fieldPosition="0">
        <references count="2">
          <reference field="29" count="1">
            <x v="1"/>
          </reference>
          <reference field="30" count="1" selected="0">
            <x v="2"/>
          </reference>
        </references>
      </pivotArea>
    </format>
    <format dxfId="11">
      <pivotArea collapsedLevelsAreSubtotals="1" fieldPosition="0">
        <references count="3">
          <reference field="28" count="1">
            <x v="1"/>
          </reference>
          <reference field="29" count="1" selected="0">
            <x v="1"/>
          </reference>
          <reference field="30" count="1" selected="0">
            <x v="2"/>
          </reference>
        </references>
      </pivotArea>
    </format>
    <format dxfId="10">
      <pivotArea collapsedLevelsAreSubtotals="1" fieldPosition="0">
        <references count="3">
          <reference field="28" count="1">
            <x v="2"/>
          </reference>
          <reference field="29" count="1" selected="0">
            <x v="1"/>
          </reference>
          <reference field="30" count="1" selected="0">
            <x v="2"/>
          </reference>
        </references>
      </pivotArea>
    </format>
    <format dxfId="9">
      <pivotArea collapsedLevelsAreSubtotals="1" fieldPosition="0">
        <references count="3">
          <reference field="28" count="1">
            <x v="3"/>
          </reference>
          <reference field="29" count="1" selected="0">
            <x v="1"/>
          </reference>
          <reference field="30" count="1" selected="0">
            <x v="2"/>
          </reference>
        </references>
      </pivotArea>
    </format>
    <format dxfId="8">
      <pivotArea collapsedLevelsAreSubtotals="1" fieldPosition="0">
        <references count="2">
          <reference field="29" count="1">
            <x v="2"/>
          </reference>
          <reference field="30" count="1" selected="0">
            <x v="2"/>
          </reference>
        </references>
      </pivotArea>
    </format>
    <format dxfId="7">
      <pivotArea collapsedLevelsAreSubtotals="1" fieldPosition="0">
        <references count="3">
          <reference field="28" count="1">
            <x v="4"/>
          </reference>
          <reference field="29" count="1" selected="0">
            <x v="2"/>
          </reference>
          <reference field="30" count="1" selected="0">
            <x v="2"/>
          </reference>
        </references>
      </pivotArea>
    </format>
    <format dxfId="6">
      <pivotArea collapsedLevelsAreSubtotals="1" fieldPosition="0">
        <references count="3">
          <reference field="28" count="1">
            <x v="5"/>
          </reference>
          <reference field="29" count="1" selected="0">
            <x v="2"/>
          </reference>
          <reference field="30" count="1" selected="0">
            <x v="2"/>
          </reference>
        </references>
      </pivotArea>
    </format>
    <format dxfId="5">
      <pivotArea collapsedLevelsAreSubtotals="1" fieldPosition="0">
        <references count="3">
          <reference field="28" count="1">
            <x v="6"/>
          </reference>
          <reference field="29" count="1" selected="0">
            <x v="2"/>
          </reference>
          <reference field="30" count="1" selected="0">
            <x v="2"/>
          </reference>
        </references>
      </pivotArea>
    </format>
    <format dxfId="4">
      <pivotArea collapsedLevelsAreSubtotals="1" fieldPosition="0">
        <references count="5">
          <reference field="4" count="1" selected="0">
            <x v="2"/>
          </reference>
          <reference field="11" count="1">
            <x v="46"/>
          </reference>
          <reference field="28" count="1" selected="0">
            <x v="9"/>
          </reference>
          <reference field="29" count="1" selected="0">
            <x v="3"/>
          </reference>
          <reference field="30" count="1" selected="0">
            <x v="1"/>
          </reference>
        </references>
      </pivotArea>
    </format>
    <format dxfId="3">
      <pivotArea collapsedLevelsAreSubtotals="1" fieldPosition="0">
        <references count="5">
          <reference field="4" count="1" selected="0">
            <x v="2"/>
          </reference>
          <reference field="11" count="1">
            <x v="48"/>
          </reference>
          <reference field="28" count="1" selected="0">
            <x v="9"/>
          </reference>
          <reference field="29" count="1" selected="0">
            <x v="3"/>
          </reference>
          <reference field="30" count="1" selected="0">
            <x v="1"/>
          </reference>
        </references>
      </pivotArea>
    </format>
    <format dxfId="2">
      <pivotArea collapsedLevelsAreSubtotals="1" fieldPosition="0">
        <references count="4">
          <reference field="4" count="1" selected="0">
            <x v="2"/>
          </reference>
          <reference field="28" count="1">
            <x v="7"/>
          </reference>
          <reference field="29" count="1" selected="0">
            <x v="3"/>
          </reference>
          <reference field="30" count="1" selected="0">
            <x v="1"/>
          </reference>
        </references>
      </pivotArea>
    </format>
    <format dxfId="1">
      <pivotArea collapsedLevelsAreSubtotals="1" fieldPosition="0">
        <references count="4">
          <reference field="4" count="1" selected="0">
            <x v="2"/>
          </reference>
          <reference field="28" count="1">
            <x v="8"/>
          </reference>
          <reference field="29" count="1" selected="0">
            <x v="3"/>
          </reference>
          <reference field="30" count="1" selected="0">
            <x v="1"/>
          </reference>
        </references>
      </pivotArea>
    </format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EAD31-B536-4B59-9219-E41BAA0B6C2B}">
  <dimension ref="A1:U233"/>
  <sheetViews>
    <sheetView workbookViewId="0">
      <selection activeCell="L15" sqref="L15"/>
    </sheetView>
  </sheetViews>
  <sheetFormatPr defaultRowHeight="15" x14ac:dyDescent="0.25"/>
  <cols>
    <col min="1" max="1" width="4" customWidth="1"/>
    <col min="2" max="2" width="8.7109375" customWidth="1"/>
    <col min="7" max="7" width="12.85546875" style="3" bestFit="1" customWidth="1"/>
    <col min="8" max="8" width="12.85546875" style="9" bestFit="1" customWidth="1"/>
    <col min="12" max="12" width="14.7109375" customWidth="1"/>
    <col min="13" max="13" width="12" bestFit="1" customWidth="1"/>
    <col min="14" max="14" width="11" bestFit="1" customWidth="1"/>
    <col min="15" max="15" width="10.28515625" bestFit="1" customWidth="1"/>
    <col min="17" max="17" width="10.5703125" bestFit="1" customWidth="1"/>
    <col min="18" max="18" width="10.28515625" bestFit="1" customWidth="1"/>
    <col min="19" max="19" width="10" bestFit="1" customWidth="1"/>
    <col min="20" max="20" width="9.28515625" bestFit="1" customWidth="1"/>
    <col min="21" max="21" width="6.5703125" bestFit="1" customWidth="1"/>
  </cols>
  <sheetData>
    <row r="1" spans="1:10" x14ac:dyDescent="0.25">
      <c r="I1" t="s">
        <v>289</v>
      </c>
      <c r="J1" t="s">
        <v>291</v>
      </c>
    </row>
    <row r="2" spans="1:10" x14ac:dyDescent="0.25">
      <c r="I2" t="s">
        <v>290</v>
      </c>
      <c r="J2" t="s">
        <v>292</v>
      </c>
    </row>
    <row r="3" spans="1:10" x14ac:dyDescent="0.25">
      <c r="A3" s="12" t="s">
        <v>159</v>
      </c>
    </row>
    <row r="5" spans="1:10" x14ac:dyDescent="0.25">
      <c r="B5" s="59" t="s">
        <v>179</v>
      </c>
    </row>
    <row r="6" spans="1:10" x14ac:dyDescent="0.25">
      <c r="C6" t="s">
        <v>160</v>
      </c>
      <c r="D6" t="s">
        <v>162</v>
      </c>
      <c r="G6" s="3">
        <v>506.64</v>
      </c>
    </row>
    <row r="7" spans="1:10" x14ac:dyDescent="0.25">
      <c r="C7" s="58" t="s">
        <v>161</v>
      </c>
      <c r="D7" s="58" t="s">
        <v>163</v>
      </c>
      <c r="H7" s="9">
        <f>+G6</f>
        <v>506.64</v>
      </c>
    </row>
    <row r="8" spans="1:10" x14ac:dyDescent="0.25">
      <c r="C8" s="58"/>
      <c r="D8" s="58"/>
      <c r="E8" t="s">
        <v>177</v>
      </c>
    </row>
    <row r="10" spans="1:10" x14ac:dyDescent="0.25">
      <c r="C10" t="s">
        <v>160</v>
      </c>
      <c r="D10" t="s">
        <v>186</v>
      </c>
      <c r="G10" s="3">
        <v>2486.7600000000002</v>
      </c>
    </row>
    <row r="11" spans="1:10" x14ac:dyDescent="0.25">
      <c r="C11" s="58" t="s">
        <v>161</v>
      </c>
      <c r="D11" s="58" t="s">
        <v>162</v>
      </c>
      <c r="H11" s="9">
        <f>+G10</f>
        <v>2486.7600000000002</v>
      </c>
    </row>
    <row r="12" spans="1:10" x14ac:dyDescent="0.25">
      <c r="E12" t="s">
        <v>188</v>
      </c>
    </row>
    <row r="14" spans="1:10" x14ac:dyDescent="0.25">
      <c r="C14" t="s">
        <v>160</v>
      </c>
      <c r="D14" t="s">
        <v>162</v>
      </c>
      <c r="G14" s="3">
        <v>5.41</v>
      </c>
    </row>
    <row r="15" spans="1:10" x14ac:dyDescent="0.25">
      <c r="C15" s="58" t="s">
        <v>161</v>
      </c>
      <c r="D15" s="58" t="s">
        <v>163</v>
      </c>
      <c r="H15" s="9">
        <f>+G14</f>
        <v>5.41</v>
      </c>
    </row>
    <row r="16" spans="1:10" x14ac:dyDescent="0.25">
      <c r="E16" t="s">
        <v>178</v>
      </c>
    </row>
    <row r="19" spans="1:15" x14ac:dyDescent="0.25">
      <c r="B19" s="59" t="s">
        <v>183</v>
      </c>
    </row>
    <row r="21" spans="1:15" x14ac:dyDescent="0.25">
      <c r="C21" t="s">
        <v>160</v>
      </c>
      <c r="D21" t="s">
        <v>180</v>
      </c>
      <c r="G21" s="3">
        <v>2.66</v>
      </c>
    </row>
    <row r="22" spans="1:15" x14ac:dyDescent="0.25">
      <c r="C22" s="58" t="s">
        <v>161</v>
      </c>
      <c r="D22" s="58" t="s">
        <v>163</v>
      </c>
      <c r="H22" s="9">
        <f>+G21</f>
        <v>2.66</v>
      </c>
    </row>
    <row r="23" spans="1:15" x14ac:dyDescent="0.25">
      <c r="E23" t="s">
        <v>182</v>
      </c>
    </row>
    <row r="24" spans="1:15" x14ac:dyDescent="0.25">
      <c r="C24" s="58"/>
      <c r="D24" s="58"/>
    </row>
    <row r="25" spans="1:15" x14ac:dyDescent="0.25">
      <c r="A25" s="12" t="s">
        <v>185</v>
      </c>
    </row>
    <row r="26" spans="1:15" x14ac:dyDescent="0.25">
      <c r="K26" s="54" t="s">
        <v>196</v>
      </c>
      <c r="L26" s="54"/>
      <c r="M26" s="54"/>
      <c r="N26" s="54"/>
    </row>
    <row r="27" spans="1:15" x14ac:dyDescent="0.25">
      <c r="B27" s="59" t="s">
        <v>179</v>
      </c>
      <c r="J27" s="17"/>
      <c r="M27" t="s">
        <v>97</v>
      </c>
      <c r="N27" s="3">
        <v>-4723.6000000000004</v>
      </c>
      <c r="O27" t="s">
        <v>100</v>
      </c>
    </row>
    <row r="28" spans="1:15" x14ac:dyDescent="0.25">
      <c r="C28" t="s">
        <v>160</v>
      </c>
      <c r="D28" t="s">
        <v>163</v>
      </c>
      <c r="G28" s="3">
        <v>143.93</v>
      </c>
      <c r="M28" t="s">
        <v>99</v>
      </c>
      <c r="N28" s="3">
        <v>4761.96</v>
      </c>
      <c r="O28" t="s">
        <v>101</v>
      </c>
    </row>
    <row r="29" spans="1:15" x14ac:dyDescent="0.25">
      <c r="C29" s="58" t="s">
        <v>161</v>
      </c>
      <c r="D29" s="58" t="s">
        <v>186</v>
      </c>
      <c r="H29" s="9">
        <f>+G28</f>
        <v>143.93</v>
      </c>
      <c r="M29" t="s">
        <v>98</v>
      </c>
      <c r="N29" s="3">
        <v>-13826.46</v>
      </c>
      <c r="O29" t="s">
        <v>100</v>
      </c>
    </row>
    <row r="30" spans="1:15" x14ac:dyDescent="0.25">
      <c r="E30" t="s">
        <v>191</v>
      </c>
    </row>
    <row r="32" spans="1:15" x14ac:dyDescent="0.25">
      <c r="C32" t="s">
        <v>160</v>
      </c>
      <c r="D32" t="s">
        <v>163</v>
      </c>
      <c r="G32" s="3">
        <v>15.21</v>
      </c>
      <c r="J32" s="17"/>
      <c r="K32" s="17"/>
    </row>
    <row r="33" spans="2:8" x14ac:dyDescent="0.25">
      <c r="C33" s="58" t="s">
        <v>161</v>
      </c>
      <c r="D33" s="58" t="s">
        <v>186</v>
      </c>
      <c r="H33" s="9">
        <f>+G32</f>
        <v>15.21</v>
      </c>
    </row>
    <row r="34" spans="2:8" x14ac:dyDescent="0.25">
      <c r="E34" t="s">
        <v>192</v>
      </c>
    </row>
    <row r="36" spans="2:8" x14ac:dyDescent="0.25">
      <c r="C36" t="s">
        <v>160</v>
      </c>
      <c r="D36" t="s">
        <v>163</v>
      </c>
      <c r="G36" s="3">
        <v>422.02</v>
      </c>
    </row>
    <row r="37" spans="2:8" x14ac:dyDescent="0.25">
      <c r="C37" s="58" t="s">
        <v>161</v>
      </c>
      <c r="D37" s="58" t="s">
        <v>186</v>
      </c>
      <c r="H37" s="9">
        <f>+G36</f>
        <v>422.02</v>
      </c>
    </row>
    <row r="38" spans="2:8" x14ac:dyDescent="0.25">
      <c r="E38" t="s">
        <v>193</v>
      </c>
    </row>
    <row r="40" spans="2:8" x14ac:dyDescent="0.25">
      <c r="C40" t="s">
        <v>160</v>
      </c>
      <c r="D40" t="s">
        <v>163</v>
      </c>
      <c r="G40" s="3">
        <v>7.58</v>
      </c>
    </row>
    <row r="41" spans="2:8" x14ac:dyDescent="0.25">
      <c r="C41" s="58" t="s">
        <v>161</v>
      </c>
      <c r="D41" s="58" t="s">
        <v>186</v>
      </c>
      <c r="H41" s="9">
        <f>+G40</f>
        <v>7.58</v>
      </c>
    </row>
    <row r="42" spans="2:8" x14ac:dyDescent="0.25">
      <c r="E42" t="s">
        <v>194</v>
      </c>
    </row>
    <row r="44" spans="2:8" x14ac:dyDescent="0.25">
      <c r="C44" t="s">
        <v>160</v>
      </c>
      <c r="D44" t="s">
        <v>186</v>
      </c>
      <c r="G44" s="3">
        <v>0.08</v>
      </c>
    </row>
    <row r="45" spans="2:8" x14ac:dyDescent="0.25">
      <c r="C45" s="58" t="s">
        <v>161</v>
      </c>
      <c r="D45" s="58" t="s">
        <v>163</v>
      </c>
      <c r="H45" s="9">
        <f>+G44</f>
        <v>0.08</v>
      </c>
    </row>
    <row r="46" spans="2:8" x14ac:dyDescent="0.25">
      <c r="E46" t="s">
        <v>195</v>
      </c>
    </row>
    <row r="48" spans="2:8" x14ac:dyDescent="0.25">
      <c r="B48" s="59" t="s">
        <v>183</v>
      </c>
    </row>
    <row r="49" spans="2:15" x14ac:dyDescent="0.25">
      <c r="L49" s="3"/>
      <c r="M49" s="45"/>
    </row>
    <row r="50" spans="2:15" x14ac:dyDescent="0.25">
      <c r="C50" t="s">
        <v>160</v>
      </c>
      <c r="D50" t="s">
        <v>197</v>
      </c>
      <c r="G50" s="3">
        <v>1.05</v>
      </c>
      <c r="L50" s="3"/>
    </row>
    <row r="51" spans="2:15" x14ac:dyDescent="0.25">
      <c r="C51" s="58" t="s">
        <v>161</v>
      </c>
      <c r="D51" s="58" t="s">
        <v>163</v>
      </c>
      <c r="H51" s="9">
        <f>+G50</f>
        <v>1.05</v>
      </c>
      <c r="L51" s="3"/>
    </row>
    <row r="52" spans="2:15" x14ac:dyDescent="0.25">
      <c r="E52" t="s">
        <v>199</v>
      </c>
      <c r="L52" s="3"/>
    </row>
    <row r="53" spans="2:15" x14ac:dyDescent="0.25">
      <c r="L53" s="3"/>
    </row>
    <row r="55" spans="2:15" x14ac:dyDescent="0.25">
      <c r="C55" t="s">
        <v>160</v>
      </c>
      <c r="D55" t="s">
        <v>163</v>
      </c>
      <c r="G55" s="3">
        <v>22343.58</v>
      </c>
    </row>
    <row r="56" spans="2:15" x14ac:dyDescent="0.25">
      <c r="C56" s="58" t="s">
        <v>161</v>
      </c>
      <c r="D56" s="58" t="s">
        <v>197</v>
      </c>
      <c r="H56" s="9">
        <f>+G55</f>
        <v>22343.58</v>
      </c>
    </row>
    <row r="57" spans="2:15" x14ac:dyDescent="0.25">
      <c r="E57" t="s">
        <v>204</v>
      </c>
    </row>
    <row r="59" spans="2:15" x14ac:dyDescent="0.25">
      <c r="B59" s="59" t="s">
        <v>200</v>
      </c>
    </row>
    <row r="60" spans="2:15" x14ac:dyDescent="0.25">
      <c r="K60" s="54" t="s">
        <v>196</v>
      </c>
      <c r="L60" s="54"/>
      <c r="M60" s="54"/>
      <c r="N60" s="54"/>
    </row>
    <row r="61" spans="2:15" x14ac:dyDescent="0.25">
      <c r="D61" t="s">
        <v>201</v>
      </c>
      <c r="M61" s="17" t="s">
        <v>89</v>
      </c>
      <c r="N61" s="3">
        <v>3085.8</v>
      </c>
      <c r="O61" t="s">
        <v>202</v>
      </c>
    </row>
    <row r="62" spans="2:15" x14ac:dyDescent="0.25">
      <c r="C62" s="58"/>
      <c r="D62" s="58"/>
      <c r="N62" s="3"/>
    </row>
    <row r="63" spans="2:15" x14ac:dyDescent="0.25">
      <c r="N63" s="3"/>
    </row>
    <row r="66" spans="1:15" x14ac:dyDescent="0.25">
      <c r="A66" s="12" t="s">
        <v>203</v>
      </c>
    </row>
    <row r="68" spans="1:15" x14ac:dyDescent="0.25">
      <c r="B68" s="59" t="s">
        <v>179</v>
      </c>
    </row>
    <row r="70" spans="1:15" x14ac:dyDescent="0.25">
      <c r="C70" t="s">
        <v>160</v>
      </c>
      <c r="D70" t="s">
        <v>205</v>
      </c>
      <c r="G70" s="3">
        <v>1165766.6599999999</v>
      </c>
      <c r="N70" s="9"/>
      <c r="O70" s="9"/>
    </row>
    <row r="71" spans="1:15" x14ac:dyDescent="0.25">
      <c r="C71" s="58" t="s">
        <v>161</v>
      </c>
      <c r="D71" s="58" t="s">
        <v>206</v>
      </c>
      <c r="H71" s="9">
        <f>+G70</f>
        <v>1165766.6599999999</v>
      </c>
      <c r="N71" s="9"/>
      <c r="O71" s="9"/>
    </row>
    <row r="72" spans="1:15" x14ac:dyDescent="0.25">
      <c r="E72" t="s">
        <v>207</v>
      </c>
      <c r="L72" s="2"/>
      <c r="M72" s="9"/>
      <c r="N72" s="9"/>
      <c r="O72" s="9"/>
    </row>
    <row r="73" spans="1:15" x14ac:dyDescent="0.25">
      <c r="L73" s="2"/>
      <c r="M73" s="9"/>
      <c r="N73" s="25"/>
      <c r="O73" s="9"/>
    </row>
    <row r="74" spans="1:15" x14ac:dyDescent="0.25">
      <c r="C74" t="s">
        <v>160</v>
      </c>
      <c r="D74" t="s">
        <v>205</v>
      </c>
      <c r="G74" s="3">
        <v>188711.94</v>
      </c>
      <c r="L74" s="2"/>
      <c r="M74" s="9"/>
      <c r="N74" s="9"/>
      <c r="O74" s="9"/>
    </row>
    <row r="75" spans="1:15" x14ac:dyDescent="0.25">
      <c r="C75" s="58" t="s">
        <v>161</v>
      </c>
      <c r="D75" s="58" t="s">
        <v>206</v>
      </c>
      <c r="H75" s="9">
        <f>+G74</f>
        <v>188711.94</v>
      </c>
    </row>
    <row r="76" spans="1:15" x14ac:dyDescent="0.25">
      <c r="E76" t="s">
        <v>208</v>
      </c>
    </row>
    <row r="78" spans="1:15" x14ac:dyDescent="0.25">
      <c r="C78" t="s">
        <v>160</v>
      </c>
      <c r="D78" t="s">
        <v>205</v>
      </c>
      <c r="G78" s="3">
        <v>97576.68</v>
      </c>
    </row>
    <row r="79" spans="1:15" x14ac:dyDescent="0.25">
      <c r="C79" s="58" t="s">
        <v>161</v>
      </c>
      <c r="D79" s="58" t="s">
        <v>206</v>
      </c>
      <c r="H79" s="9">
        <f>+G78</f>
        <v>97576.68</v>
      </c>
    </row>
    <row r="80" spans="1:15" x14ac:dyDescent="0.25">
      <c r="E80" t="s">
        <v>209</v>
      </c>
    </row>
    <row r="82" spans="3:8" x14ac:dyDescent="0.25">
      <c r="C82" t="s">
        <v>160</v>
      </c>
      <c r="D82" t="s">
        <v>206</v>
      </c>
      <c r="G82" s="3">
        <v>2273.11</v>
      </c>
    </row>
    <row r="83" spans="3:8" x14ac:dyDescent="0.25">
      <c r="C83" s="58" t="s">
        <v>161</v>
      </c>
      <c r="D83" s="58" t="s">
        <v>205</v>
      </c>
      <c r="H83" s="9">
        <f>+G82</f>
        <v>2273.11</v>
      </c>
    </row>
    <row r="84" spans="3:8" x14ac:dyDescent="0.25">
      <c r="E84" t="s">
        <v>210</v>
      </c>
    </row>
    <row r="86" spans="3:8" x14ac:dyDescent="0.25">
      <c r="C86" t="s">
        <v>160</v>
      </c>
      <c r="D86" t="s">
        <v>206</v>
      </c>
      <c r="G86" s="3">
        <v>2183.63</v>
      </c>
    </row>
    <row r="87" spans="3:8" x14ac:dyDescent="0.25">
      <c r="C87" s="58" t="s">
        <v>161</v>
      </c>
      <c r="D87" s="58" t="s">
        <v>205</v>
      </c>
      <c r="H87" s="9">
        <f>+G86</f>
        <v>2183.63</v>
      </c>
    </row>
    <row r="88" spans="3:8" x14ac:dyDescent="0.25">
      <c r="E88" t="s">
        <v>211</v>
      </c>
    </row>
    <row r="90" spans="3:8" x14ac:dyDescent="0.25">
      <c r="C90" t="s">
        <v>160</v>
      </c>
      <c r="D90" t="s">
        <v>206</v>
      </c>
      <c r="G90" s="3">
        <v>3041.08</v>
      </c>
    </row>
    <row r="91" spans="3:8" x14ac:dyDescent="0.25">
      <c r="C91" s="58" t="s">
        <v>161</v>
      </c>
      <c r="D91" s="58" t="s">
        <v>205</v>
      </c>
      <c r="H91" s="9">
        <f>+G90</f>
        <v>3041.08</v>
      </c>
    </row>
    <row r="92" spans="3:8" x14ac:dyDescent="0.25">
      <c r="E92" t="s">
        <v>212</v>
      </c>
    </row>
    <row r="94" spans="3:8" x14ac:dyDescent="0.25">
      <c r="C94" t="s">
        <v>160</v>
      </c>
      <c r="D94" t="s">
        <v>206</v>
      </c>
      <c r="G94" s="3">
        <v>4091.3999999999996</v>
      </c>
    </row>
    <row r="95" spans="3:8" x14ac:dyDescent="0.25">
      <c r="C95" t="s">
        <v>160</v>
      </c>
      <c r="D95" t="s">
        <v>205</v>
      </c>
      <c r="G95" s="3">
        <v>6.76</v>
      </c>
    </row>
    <row r="96" spans="3:8" x14ac:dyDescent="0.25">
      <c r="C96" s="58" t="s">
        <v>161</v>
      </c>
      <c r="D96" s="58" t="s">
        <v>205</v>
      </c>
      <c r="H96" s="9">
        <v>4098.16</v>
      </c>
    </row>
    <row r="97" spans="2:21" x14ac:dyDescent="0.25">
      <c r="E97" t="s">
        <v>213</v>
      </c>
    </row>
    <row r="99" spans="2:21" x14ac:dyDescent="0.25">
      <c r="C99" t="s">
        <v>160</v>
      </c>
      <c r="D99" t="s">
        <v>206</v>
      </c>
      <c r="G99" s="3">
        <v>1669.41</v>
      </c>
    </row>
    <row r="100" spans="2:21" x14ac:dyDescent="0.25">
      <c r="C100" s="58" t="s">
        <v>161</v>
      </c>
      <c r="D100" s="58" t="s">
        <v>205</v>
      </c>
      <c r="H100" s="9">
        <f>+G99</f>
        <v>1669.41</v>
      </c>
    </row>
    <row r="101" spans="2:21" x14ac:dyDescent="0.25">
      <c r="E101" t="s">
        <v>214</v>
      </c>
    </row>
    <row r="103" spans="2:21" x14ac:dyDescent="0.25">
      <c r="B103" s="59" t="s">
        <v>183</v>
      </c>
    </row>
    <row r="105" spans="2:21" x14ac:dyDescent="0.25">
      <c r="C105" t="s">
        <v>160</v>
      </c>
      <c r="D105" t="s">
        <v>215</v>
      </c>
      <c r="G105" s="9">
        <v>62128.6</v>
      </c>
      <c r="Q105" s="2"/>
      <c r="R105" s="9"/>
      <c r="S105" s="9"/>
      <c r="T105" s="9"/>
      <c r="U105" s="9"/>
    </row>
    <row r="106" spans="2:21" x14ac:dyDescent="0.25">
      <c r="C106" s="58" t="s">
        <v>161</v>
      </c>
      <c r="D106" s="58" t="s">
        <v>206</v>
      </c>
      <c r="H106" s="9">
        <f>+G105</f>
        <v>62128.6</v>
      </c>
      <c r="Q106" s="2"/>
      <c r="R106" s="9"/>
      <c r="S106" s="9"/>
      <c r="T106" s="9"/>
      <c r="U106" s="9"/>
    </row>
    <row r="107" spans="2:21" x14ac:dyDescent="0.25">
      <c r="E107" t="s">
        <v>216</v>
      </c>
      <c r="Q107" s="2"/>
      <c r="R107" s="9"/>
      <c r="S107" s="9"/>
      <c r="T107" s="9"/>
      <c r="U107" s="9"/>
    </row>
    <row r="108" spans="2:21" x14ac:dyDescent="0.25">
      <c r="Q108" s="2"/>
      <c r="R108" s="9"/>
      <c r="S108" s="9"/>
      <c r="T108" s="9"/>
      <c r="U108" s="9"/>
    </row>
    <row r="109" spans="2:21" x14ac:dyDescent="0.25">
      <c r="C109" t="s">
        <v>160</v>
      </c>
      <c r="D109" t="s">
        <v>215</v>
      </c>
      <c r="G109" s="9">
        <v>46539.85</v>
      </c>
      <c r="Q109" s="2"/>
      <c r="R109" s="9"/>
      <c r="S109" s="9"/>
      <c r="T109" s="9"/>
      <c r="U109" s="9"/>
    </row>
    <row r="110" spans="2:21" x14ac:dyDescent="0.25">
      <c r="C110" s="58" t="s">
        <v>161</v>
      </c>
      <c r="D110" s="58" t="s">
        <v>206</v>
      </c>
      <c r="H110" s="9">
        <f>+G109</f>
        <v>46539.85</v>
      </c>
      <c r="Q110" s="2"/>
      <c r="R110" s="9"/>
      <c r="S110" s="9"/>
      <c r="T110" s="9"/>
      <c r="U110" s="9"/>
    </row>
    <row r="111" spans="2:21" x14ac:dyDescent="0.25">
      <c r="E111" t="s">
        <v>217</v>
      </c>
      <c r="Q111" s="2"/>
      <c r="R111" s="9"/>
      <c r="S111" s="9"/>
      <c r="T111" s="9"/>
      <c r="U111" s="9"/>
    </row>
    <row r="112" spans="2:21" x14ac:dyDescent="0.25">
      <c r="Q112" s="2"/>
      <c r="R112" s="9"/>
      <c r="S112" s="9"/>
      <c r="T112" s="9"/>
      <c r="U112" s="9"/>
    </row>
    <row r="113" spans="3:21" x14ac:dyDescent="0.25">
      <c r="C113" t="s">
        <v>160</v>
      </c>
      <c r="D113" t="s">
        <v>215</v>
      </c>
      <c r="G113" s="9">
        <v>32068.87</v>
      </c>
      <c r="Q113" s="2"/>
      <c r="R113" s="9"/>
      <c r="S113" s="9"/>
      <c r="T113" s="9"/>
      <c r="U113" s="9"/>
    </row>
    <row r="114" spans="3:21" x14ac:dyDescent="0.25">
      <c r="C114" s="58" t="s">
        <v>161</v>
      </c>
      <c r="D114" s="58" t="s">
        <v>206</v>
      </c>
      <c r="H114" s="9">
        <f>+G113</f>
        <v>32068.87</v>
      </c>
      <c r="Q114" s="2"/>
      <c r="R114" s="9"/>
      <c r="S114" s="9"/>
      <c r="T114" s="9"/>
      <c r="U114" s="9"/>
    </row>
    <row r="115" spans="3:21" x14ac:dyDescent="0.25">
      <c r="E115" t="s">
        <v>218</v>
      </c>
      <c r="Q115" s="2"/>
      <c r="R115" s="9"/>
      <c r="S115" s="9"/>
      <c r="T115" s="9"/>
      <c r="U115" s="9"/>
    </row>
    <row r="116" spans="3:21" x14ac:dyDescent="0.25">
      <c r="M116" s="3"/>
    </row>
    <row r="117" spans="3:21" x14ac:dyDescent="0.25">
      <c r="C117" t="s">
        <v>160</v>
      </c>
      <c r="D117" t="s">
        <v>215</v>
      </c>
      <c r="G117" s="9">
        <v>9509.74</v>
      </c>
    </row>
    <row r="118" spans="3:21" x14ac:dyDescent="0.25">
      <c r="C118" s="58" t="s">
        <v>161</v>
      </c>
      <c r="D118" s="58" t="s">
        <v>206</v>
      </c>
      <c r="H118" s="9">
        <f>+G117</f>
        <v>9509.74</v>
      </c>
    </row>
    <row r="119" spans="3:21" x14ac:dyDescent="0.25">
      <c r="E119" t="s">
        <v>207</v>
      </c>
    </row>
    <row r="121" spans="3:21" x14ac:dyDescent="0.25">
      <c r="C121" t="s">
        <v>160</v>
      </c>
      <c r="D121" t="s">
        <v>206</v>
      </c>
      <c r="G121" s="3">
        <v>2400.88</v>
      </c>
    </row>
    <row r="122" spans="3:21" x14ac:dyDescent="0.25">
      <c r="C122" s="58" t="s">
        <v>161</v>
      </c>
      <c r="D122" s="58" t="s">
        <v>215</v>
      </c>
      <c r="H122" s="9">
        <f>+G121</f>
        <v>2400.88</v>
      </c>
    </row>
    <row r="123" spans="3:21" x14ac:dyDescent="0.25">
      <c r="E123" t="s">
        <v>219</v>
      </c>
    </row>
    <row r="125" spans="3:21" x14ac:dyDescent="0.25">
      <c r="C125" t="s">
        <v>160</v>
      </c>
      <c r="D125" t="s">
        <v>206</v>
      </c>
      <c r="G125" s="9">
        <v>2095.16</v>
      </c>
    </row>
    <row r="126" spans="3:21" x14ac:dyDescent="0.25">
      <c r="C126" s="58" t="s">
        <v>161</v>
      </c>
      <c r="D126" s="58" t="s">
        <v>215</v>
      </c>
      <c r="H126" s="9">
        <f>+G125</f>
        <v>2095.16</v>
      </c>
    </row>
    <row r="127" spans="3:21" x14ac:dyDescent="0.25">
      <c r="E127" t="s">
        <v>220</v>
      </c>
    </row>
    <row r="129" spans="3:8" x14ac:dyDescent="0.25">
      <c r="C129" t="s">
        <v>160</v>
      </c>
      <c r="D129" t="s">
        <v>206</v>
      </c>
      <c r="G129" s="3">
        <v>6221.66</v>
      </c>
    </row>
    <row r="130" spans="3:8" x14ac:dyDescent="0.25">
      <c r="C130" s="58" t="s">
        <v>161</v>
      </c>
      <c r="D130" s="58" t="s">
        <v>215</v>
      </c>
      <c r="H130" s="9">
        <f>+G129</f>
        <v>6221.66</v>
      </c>
    </row>
    <row r="131" spans="3:8" x14ac:dyDescent="0.25">
      <c r="E131" t="s">
        <v>221</v>
      </c>
    </row>
    <row r="133" spans="3:8" x14ac:dyDescent="0.25">
      <c r="C133" t="s">
        <v>160</v>
      </c>
      <c r="D133" t="s">
        <v>206</v>
      </c>
      <c r="G133" s="3">
        <v>2570.9299999999998</v>
      </c>
    </row>
    <row r="134" spans="3:8" x14ac:dyDescent="0.25">
      <c r="C134" s="58" t="s">
        <v>161</v>
      </c>
      <c r="D134" s="58" t="s">
        <v>215</v>
      </c>
      <c r="H134" s="9">
        <f>+G133</f>
        <v>2570.9299999999998</v>
      </c>
    </row>
    <row r="135" spans="3:8" x14ac:dyDescent="0.25">
      <c r="E135" t="s">
        <v>222</v>
      </c>
    </row>
    <row r="137" spans="3:8" x14ac:dyDescent="0.25">
      <c r="C137" t="s">
        <v>160</v>
      </c>
      <c r="D137" t="s">
        <v>206</v>
      </c>
      <c r="G137" s="3">
        <v>1186.3800000000001</v>
      </c>
    </row>
    <row r="138" spans="3:8" x14ac:dyDescent="0.25">
      <c r="C138" s="58" t="s">
        <v>161</v>
      </c>
      <c r="D138" s="58" t="s">
        <v>215</v>
      </c>
      <c r="H138" s="9">
        <f>+G137</f>
        <v>1186.3800000000001</v>
      </c>
    </row>
    <row r="139" spans="3:8" x14ac:dyDescent="0.25">
      <c r="E139" t="s">
        <v>223</v>
      </c>
    </row>
    <row r="141" spans="3:8" x14ac:dyDescent="0.25">
      <c r="C141" t="s">
        <v>160</v>
      </c>
      <c r="D141" t="s">
        <v>206</v>
      </c>
      <c r="G141" s="3">
        <v>1289.46</v>
      </c>
    </row>
    <row r="142" spans="3:8" x14ac:dyDescent="0.25">
      <c r="C142" s="58" t="s">
        <v>161</v>
      </c>
      <c r="D142" s="58" t="s">
        <v>215</v>
      </c>
      <c r="H142" s="9">
        <f>+G141</f>
        <v>1289.46</v>
      </c>
    </row>
    <row r="143" spans="3:8" x14ac:dyDescent="0.25">
      <c r="E143" t="s">
        <v>224</v>
      </c>
    </row>
    <row r="145" spans="3:11" x14ac:dyDescent="0.25">
      <c r="C145" t="s">
        <v>160</v>
      </c>
      <c r="D145" t="s">
        <v>206</v>
      </c>
      <c r="G145" s="5">
        <f>+H146+H147</f>
        <v>792.56</v>
      </c>
    </row>
    <row r="146" spans="3:11" x14ac:dyDescent="0.25">
      <c r="C146" s="58" t="s">
        <v>161</v>
      </c>
      <c r="D146" s="58" t="s">
        <v>215</v>
      </c>
      <c r="H146" s="9">
        <v>5.66</v>
      </c>
      <c r="K146" s="9"/>
    </row>
    <row r="147" spans="3:11" x14ac:dyDescent="0.25">
      <c r="C147" s="58" t="s">
        <v>161</v>
      </c>
      <c r="D147" s="58" t="s">
        <v>215</v>
      </c>
      <c r="H147" s="9">
        <v>786.9</v>
      </c>
      <c r="K147" s="9"/>
    </row>
    <row r="148" spans="3:11" x14ac:dyDescent="0.25">
      <c r="E148" t="s">
        <v>210</v>
      </c>
    </row>
    <row r="150" spans="3:11" x14ac:dyDescent="0.25">
      <c r="C150" t="s">
        <v>160</v>
      </c>
      <c r="D150" t="s">
        <v>206</v>
      </c>
      <c r="G150">
        <v>193.28</v>
      </c>
    </row>
    <row r="151" spans="3:11" x14ac:dyDescent="0.25">
      <c r="C151" s="58" t="s">
        <v>161</v>
      </c>
      <c r="D151" s="58" t="s">
        <v>215</v>
      </c>
      <c r="H151" s="9">
        <f>+G150</f>
        <v>193.28</v>
      </c>
    </row>
    <row r="152" spans="3:11" x14ac:dyDescent="0.25">
      <c r="E152" t="s">
        <v>211</v>
      </c>
    </row>
    <row r="154" spans="3:11" x14ac:dyDescent="0.25">
      <c r="C154" t="s">
        <v>160</v>
      </c>
      <c r="D154" t="s">
        <v>206</v>
      </c>
      <c r="G154">
        <v>222.29</v>
      </c>
    </row>
    <row r="155" spans="3:11" x14ac:dyDescent="0.25">
      <c r="C155" s="58" t="s">
        <v>161</v>
      </c>
      <c r="D155" s="58" t="s">
        <v>215</v>
      </c>
      <c r="H155" s="9">
        <f>+G154</f>
        <v>222.29</v>
      </c>
    </row>
    <row r="156" spans="3:11" x14ac:dyDescent="0.25">
      <c r="E156" t="s">
        <v>212</v>
      </c>
    </row>
    <row r="158" spans="3:11" x14ac:dyDescent="0.25">
      <c r="C158" t="s">
        <v>160</v>
      </c>
      <c r="D158" t="s">
        <v>206</v>
      </c>
      <c r="G158">
        <f>+H160-G159</f>
        <v>452.34000000000003</v>
      </c>
    </row>
    <row r="159" spans="3:11" x14ac:dyDescent="0.25">
      <c r="C159" t="s">
        <v>160</v>
      </c>
      <c r="D159" t="s">
        <v>215</v>
      </c>
      <c r="G159">
        <v>1.53</v>
      </c>
    </row>
    <row r="160" spans="3:11" x14ac:dyDescent="0.25">
      <c r="C160" s="58" t="s">
        <v>161</v>
      </c>
      <c r="D160" s="58" t="s">
        <v>215</v>
      </c>
      <c r="H160">
        <v>453.87</v>
      </c>
    </row>
    <row r="161" spans="2:18" x14ac:dyDescent="0.25">
      <c r="E161" t="s">
        <v>213</v>
      </c>
    </row>
    <row r="163" spans="2:18" x14ac:dyDescent="0.25">
      <c r="M163" s="3"/>
    </row>
    <row r="164" spans="2:18" x14ac:dyDescent="0.25">
      <c r="B164" s="59" t="s">
        <v>200</v>
      </c>
    </row>
    <row r="165" spans="2:18" x14ac:dyDescent="0.25">
      <c r="M165" s="3"/>
    </row>
    <row r="166" spans="2:18" x14ac:dyDescent="0.25">
      <c r="C166" t="s">
        <v>160</v>
      </c>
      <c r="D166" t="s">
        <v>206</v>
      </c>
      <c r="G166">
        <v>1290.98</v>
      </c>
    </row>
    <row r="167" spans="2:18" x14ac:dyDescent="0.25">
      <c r="C167" s="58" t="s">
        <v>161</v>
      </c>
      <c r="D167" s="58" t="s">
        <v>225</v>
      </c>
      <c r="H167" s="9">
        <f>+G166</f>
        <v>1290.98</v>
      </c>
      <c r="M167" s="3"/>
    </row>
    <row r="168" spans="2:18" x14ac:dyDescent="0.25">
      <c r="E168" t="s">
        <v>228</v>
      </c>
      <c r="P168" s="2"/>
      <c r="Q168" s="9"/>
      <c r="R168" s="9"/>
    </row>
    <row r="169" spans="2:18" x14ac:dyDescent="0.25">
      <c r="M169" s="3"/>
      <c r="P169" s="2"/>
      <c r="Q169" s="9"/>
      <c r="R169" s="9"/>
    </row>
    <row r="170" spans="2:18" x14ac:dyDescent="0.25">
      <c r="C170" t="s">
        <v>160</v>
      </c>
      <c r="D170" t="s">
        <v>206</v>
      </c>
      <c r="G170">
        <v>510.11</v>
      </c>
      <c r="P170" s="2"/>
      <c r="Q170" s="9"/>
      <c r="R170" s="9"/>
    </row>
    <row r="171" spans="2:18" x14ac:dyDescent="0.25">
      <c r="C171" s="58" t="s">
        <v>161</v>
      </c>
      <c r="D171" s="58" t="s">
        <v>225</v>
      </c>
      <c r="H171" s="9">
        <f>+G170</f>
        <v>510.11</v>
      </c>
      <c r="M171" s="3"/>
      <c r="P171" s="2"/>
      <c r="Q171" s="9"/>
      <c r="R171" s="9"/>
    </row>
    <row r="172" spans="2:18" x14ac:dyDescent="0.25">
      <c r="E172" t="s">
        <v>219</v>
      </c>
      <c r="M172" s="3"/>
      <c r="P172" s="2"/>
      <c r="Q172" s="9"/>
      <c r="R172" s="9"/>
    </row>
    <row r="173" spans="2:18" x14ac:dyDescent="0.25">
      <c r="M173" s="3"/>
      <c r="P173" s="2"/>
      <c r="Q173" s="9"/>
      <c r="R173" s="9"/>
    </row>
    <row r="174" spans="2:18" x14ac:dyDescent="0.25">
      <c r="C174" t="s">
        <v>160</v>
      </c>
      <c r="D174" t="s">
        <v>206</v>
      </c>
      <c r="G174">
        <v>405.52</v>
      </c>
      <c r="P174" s="2"/>
      <c r="Q174" s="25"/>
      <c r="R174" s="9"/>
    </row>
    <row r="175" spans="2:18" x14ac:dyDescent="0.25">
      <c r="C175" s="58" t="s">
        <v>161</v>
      </c>
      <c r="D175" s="58" t="s">
        <v>225</v>
      </c>
      <c r="H175" s="9">
        <f>+G174</f>
        <v>405.52</v>
      </c>
      <c r="P175" s="2"/>
      <c r="Q175" s="25"/>
      <c r="R175" s="25"/>
    </row>
    <row r="176" spans="2:18" x14ac:dyDescent="0.25">
      <c r="E176" t="s">
        <v>221</v>
      </c>
      <c r="P176" s="2"/>
      <c r="Q176" s="25"/>
      <c r="R176" s="25"/>
    </row>
    <row r="177" spans="3:18" x14ac:dyDescent="0.25">
      <c r="P177" s="2"/>
      <c r="Q177" s="25"/>
      <c r="R177" s="25"/>
    </row>
    <row r="178" spans="3:18" x14ac:dyDescent="0.25">
      <c r="C178" t="s">
        <v>160</v>
      </c>
      <c r="D178" t="s">
        <v>206</v>
      </c>
      <c r="G178">
        <v>284.86</v>
      </c>
      <c r="P178" s="2"/>
      <c r="Q178" s="25"/>
      <c r="R178" s="25"/>
    </row>
    <row r="179" spans="3:18" x14ac:dyDescent="0.25">
      <c r="C179" s="58" t="s">
        <v>161</v>
      </c>
      <c r="D179" s="58" t="s">
        <v>225</v>
      </c>
      <c r="H179" s="9">
        <v>0.9</v>
      </c>
    </row>
    <row r="180" spans="3:18" x14ac:dyDescent="0.25">
      <c r="C180" s="58" t="s">
        <v>161</v>
      </c>
      <c r="D180" s="58" t="s">
        <v>225</v>
      </c>
      <c r="H180" s="9">
        <v>283.95999999999998</v>
      </c>
    </row>
    <row r="181" spans="3:18" x14ac:dyDescent="0.25">
      <c r="E181" t="s">
        <v>210</v>
      </c>
    </row>
    <row r="183" spans="3:18" x14ac:dyDescent="0.25">
      <c r="C183" t="s">
        <v>160</v>
      </c>
      <c r="D183" t="s">
        <v>206</v>
      </c>
      <c r="G183">
        <v>64.88</v>
      </c>
    </row>
    <row r="184" spans="3:18" x14ac:dyDescent="0.25">
      <c r="C184" s="58" t="s">
        <v>161</v>
      </c>
      <c r="D184" s="58" t="s">
        <v>225</v>
      </c>
      <c r="H184" s="9">
        <f>+G183</f>
        <v>64.88</v>
      </c>
    </row>
    <row r="185" spans="3:18" x14ac:dyDescent="0.25">
      <c r="E185" t="s">
        <v>211</v>
      </c>
    </row>
    <row r="187" spans="3:18" x14ac:dyDescent="0.25">
      <c r="C187" t="s">
        <v>160</v>
      </c>
      <c r="D187" t="s">
        <v>206</v>
      </c>
      <c r="G187">
        <v>481.31</v>
      </c>
    </row>
    <row r="188" spans="3:18" x14ac:dyDescent="0.25">
      <c r="C188" s="58" t="s">
        <v>161</v>
      </c>
      <c r="D188" s="58" t="s">
        <v>225</v>
      </c>
      <c r="H188" s="9">
        <f>+G187</f>
        <v>481.31</v>
      </c>
    </row>
    <row r="189" spans="3:18" x14ac:dyDescent="0.25">
      <c r="E189" t="s">
        <v>212</v>
      </c>
    </row>
    <row r="191" spans="3:18" x14ac:dyDescent="0.25">
      <c r="C191" t="s">
        <v>160</v>
      </c>
      <c r="D191" t="s">
        <v>206</v>
      </c>
      <c r="G191">
        <v>411.67</v>
      </c>
    </row>
    <row r="192" spans="3:18" x14ac:dyDescent="0.25">
      <c r="C192" s="58" t="s">
        <v>161</v>
      </c>
      <c r="D192" s="58" t="s">
        <v>225</v>
      </c>
      <c r="H192" s="9">
        <f>+G191</f>
        <v>411.67</v>
      </c>
    </row>
    <row r="193" spans="2:13" x14ac:dyDescent="0.25">
      <c r="E193" t="s">
        <v>213</v>
      </c>
    </row>
    <row r="195" spans="2:13" x14ac:dyDescent="0.25">
      <c r="B195" s="59" t="s">
        <v>229</v>
      </c>
    </row>
    <row r="197" spans="2:13" x14ac:dyDescent="0.25">
      <c r="C197" t="s">
        <v>160</v>
      </c>
      <c r="D197" t="s">
        <v>206</v>
      </c>
      <c r="G197">
        <v>88.45</v>
      </c>
    </row>
    <row r="198" spans="2:13" x14ac:dyDescent="0.25">
      <c r="C198" s="58" t="s">
        <v>161</v>
      </c>
      <c r="D198" s="58" t="s">
        <v>260</v>
      </c>
      <c r="H198" s="9">
        <f>+G197</f>
        <v>88.45</v>
      </c>
    </row>
    <row r="199" spans="2:13" x14ac:dyDescent="0.25">
      <c r="E199" t="s">
        <v>224</v>
      </c>
    </row>
    <row r="201" spans="2:13" x14ac:dyDescent="0.25">
      <c r="B201" t="s">
        <v>239</v>
      </c>
    </row>
    <row r="202" spans="2:13" x14ac:dyDescent="0.25">
      <c r="C202" t="s">
        <v>160</v>
      </c>
      <c r="D202" t="s">
        <v>206</v>
      </c>
      <c r="G202" s="3">
        <f>SUM(H203:H225)</f>
        <v>47422.229999999989</v>
      </c>
    </row>
    <row r="203" spans="2:13" x14ac:dyDescent="0.25">
      <c r="C203" s="58" t="s">
        <v>161</v>
      </c>
      <c r="D203" s="58" t="s">
        <v>240</v>
      </c>
      <c r="H203" s="9">
        <v>1689.9</v>
      </c>
    </row>
    <row r="204" spans="2:13" x14ac:dyDescent="0.25">
      <c r="C204" s="58" t="s">
        <v>161</v>
      </c>
      <c r="D204" s="58" t="s">
        <v>241</v>
      </c>
      <c r="H204" s="9">
        <v>2332.71</v>
      </c>
      <c r="L204" s="57"/>
      <c r="M204" s="3"/>
    </row>
    <row r="205" spans="2:13" x14ac:dyDescent="0.25">
      <c r="C205" s="58" t="s">
        <v>161</v>
      </c>
      <c r="D205" s="58" t="s">
        <v>242</v>
      </c>
      <c r="H205" s="9">
        <v>1410</v>
      </c>
      <c r="L205" s="57"/>
      <c r="M205" s="3"/>
    </row>
    <row r="206" spans="2:13" x14ac:dyDescent="0.25">
      <c r="C206" s="58" t="s">
        <v>161</v>
      </c>
      <c r="D206" s="58" t="s">
        <v>243</v>
      </c>
      <c r="H206" s="9">
        <v>1709.27</v>
      </c>
      <c r="L206" s="57"/>
      <c r="M206" s="3"/>
    </row>
    <row r="207" spans="2:13" x14ac:dyDescent="0.25">
      <c r="C207" s="58" t="s">
        <v>161</v>
      </c>
      <c r="D207" s="58" t="s">
        <v>244</v>
      </c>
      <c r="H207" s="9">
        <v>3156.36</v>
      </c>
      <c r="L207" s="57"/>
      <c r="M207" s="3"/>
    </row>
    <row r="208" spans="2:13" x14ac:dyDescent="0.25">
      <c r="C208" s="58" t="s">
        <v>161</v>
      </c>
      <c r="D208" s="58" t="s">
        <v>245</v>
      </c>
      <c r="H208" s="9">
        <v>1105.6300000000001</v>
      </c>
      <c r="L208" s="57"/>
      <c r="M208" s="3"/>
    </row>
    <row r="209" spans="3:13" x14ac:dyDescent="0.25">
      <c r="C209" s="58" t="s">
        <v>161</v>
      </c>
      <c r="D209" s="58" t="s">
        <v>246</v>
      </c>
      <c r="H209" s="9">
        <v>783.75</v>
      </c>
      <c r="L209" s="57"/>
      <c r="M209" s="3"/>
    </row>
    <row r="210" spans="3:13" x14ac:dyDescent="0.25">
      <c r="C210" s="58" t="s">
        <v>161</v>
      </c>
      <c r="D210" s="58" t="s">
        <v>247</v>
      </c>
      <c r="H210" s="9">
        <v>491.25</v>
      </c>
      <c r="L210" s="57"/>
      <c r="M210" s="3"/>
    </row>
    <row r="211" spans="3:13" x14ac:dyDescent="0.25">
      <c r="C211" s="58" t="s">
        <v>161</v>
      </c>
      <c r="D211" s="58" t="s">
        <v>248</v>
      </c>
      <c r="H211" s="9">
        <v>1207.5</v>
      </c>
      <c r="L211" s="57"/>
      <c r="M211" s="3"/>
    </row>
    <row r="212" spans="3:13" x14ac:dyDescent="0.25">
      <c r="C212" s="58" t="s">
        <v>161</v>
      </c>
      <c r="D212" s="58" t="s">
        <v>249</v>
      </c>
      <c r="H212" s="9">
        <v>970.21</v>
      </c>
      <c r="L212" s="57"/>
      <c r="M212" s="3"/>
    </row>
    <row r="213" spans="3:13" x14ac:dyDescent="0.25">
      <c r="C213" s="58" t="s">
        <v>161</v>
      </c>
      <c r="D213" s="58" t="s">
        <v>250</v>
      </c>
      <c r="H213" s="9">
        <v>1796.35</v>
      </c>
      <c r="L213" s="57"/>
      <c r="M213" s="3"/>
    </row>
    <row r="214" spans="3:13" x14ac:dyDescent="0.25">
      <c r="C214" s="58" t="s">
        <v>161</v>
      </c>
      <c r="D214" s="58" t="s">
        <v>251</v>
      </c>
      <c r="H214" s="9">
        <v>969.17</v>
      </c>
      <c r="L214" s="57"/>
      <c r="M214" s="3"/>
    </row>
    <row r="215" spans="3:13" x14ac:dyDescent="0.25">
      <c r="C215" s="58" t="s">
        <v>161</v>
      </c>
      <c r="D215" s="58" t="s">
        <v>252</v>
      </c>
      <c r="H215" s="9">
        <v>3531.99</v>
      </c>
      <c r="L215" s="57"/>
      <c r="M215" s="3"/>
    </row>
    <row r="216" spans="3:13" x14ac:dyDescent="0.25">
      <c r="C216" s="58" t="s">
        <v>161</v>
      </c>
      <c r="D216" s="58" t="s">
        <v>253</v>
      </c>
      <c r="H216" s="9">
        <v>2225</v>
      </c>
      <c r="L216" s="57"/>
      <c r="M216" s="3"/>
    </row>
    <row r="217" spans="3:13" x14ac:dyDescent="0.25">
      <c r="C217" s="58" t="s">
        <v>161</v>
      </c>
      <c r="D217" s="58" t="s">
        <v>254</v>
      </c>
      <c r="H217" s="9">
        <v>3359.38</v>
      </c>
      <c r="L217" s="57"/>
      <c r="M217" s="3"/>
    </row>
    <row r="218" spans="3:13" x14ac:dyDescent="0.25">
      <c r="C218" s="58" t="s">
        <v>161</v>
      </c>
      <c r="D218" s="58" t="s">
        <v>255</v>
      </c>
      <c r="H218" s="9">
        <v>6690.73</v>
      </c>
      <c r="L218" s="57"/>
      <c r="M218" s="3"/>
    </row>
    <row r="219" spans="3:13" x14ac:dyDescent="0.25">
      <c r="C219" s="58" t="s">
        <v>161</v>
      </c>
      <c r="D219" s="58" t="s">
        <v>256</v>
      </c>
      <c r="H219" s="9">
        <v>7966.57</v>
      </c>
      <c r="M219" s="3"/>
    </row>
    <row r="220" spans="3:13" x14ac:dyDescent="0.25">
      <c r="C220" s="58" t="s">
        <v>161</v>
      </c>
      <c r="D220" s="58" t="s">
        <v>257</v>
      </c>
      <c r="H220" s="9">
        <v>1418.13</v>
      </c>
      <c r="M220" s="3"/>
    </row>
    <row r="221" spans="3:13" x14ac:dyDescent="0.25">
      <c r="C221" s="58" t="s">
        <v>161</v>
      </c>
      <c r="D221" s="58" t="s">
        <v>257</v>
      </c>
      <c r="H221" s="9">
        <v>523.33000000000004</v>
      </c>
      <c r="J221" t="s">
        <v>259</v>
      </c>
      <c r="M221" s="3"/>
    </row>
    <row r="222" spans="3:13" x14ac:dyDescent="0.25">
      <c r="C222" s="58" t="s">
        <v>161</v>
      </c>
      <c r="D222" s="58" t="s">
        <v>257</v>
      </c>
      <c r="H222" s="9">
        <v>1435.73</v>
      </c>
      <c r="J222" t="s">
        <v>259</v>
      </c>
      <c r="M222" s="3"/>
    </row>
    <row r="223" spans="3:13" x14ac:dyDescent="0.25">
      <c r="C223" s="58" t="s">
        <v>161</v>
      </c>
      <c r="D223" s="58" t="s">
        <v>257</v>
      </c>
      <c r="H223" s="9">
        <v>744.09</v>
      </c>
      <c r="J223" t="s">
        <v>259</v>
      </c>
      <c r="M223" s="3"/>
    </row>
    <row r="224" spans="3:13" x14ac:dyDescent="0.25">
      <c r="C224" s="58" t="s">
        <v>161</v>
      </c>
      <c r="D224" s="58" t="s">
        <v>257</v>
      </c>
      <c r="H224" s="9">
        <v>633.09</v>
      </c>
      <c r="J224" t="s">
        <v>259</v>
      </c>
      <c r="M224" s="3"/>
    </row>
    <row r="225" spans="1:13" x14ac:dyDescent="0.25">
      <c r="C225" s="58" t="s">
        <v>161</v>
      </c>
      <c r="D225" s="58" t="s">
        <v>257</v>
      </c>
      <c r="H225" s="9">
        <v>1272.0899999999999</v>
      </c>
      <c r="M225" s="3"/>
    </row>
    <row r="226" spans="1:13" x14ac:dyDescent="0.25">
      <c r="M226" s="3"/>
    </row>
    <row r="227" spans="1:13" x14ac:dyDescent="0.25">
      <c r="E227" t="s">
        <v>258</v>
      </c>
    </row>
    <row r="229" spans="1:13" x14ac:dyDescent="0.25">
      <c r="A229" s="12" t="s">
        <v>235</v>
      </c>
    </row>
    <row r="231" spans="1:13" x14ac:dyDescent="0.25">
      <c r="C231" t="s">
        <v>160</v>
      </c>
      <c r="D231" t="s">
        <v>237</v>
      </c>
      <c r="G231" s="3">
        <v>26892.240000000002</v>
      </c>
    </row>
    <row r="232" spans="1:13" x14ac:dyDescent="0.25">
      <c r="C232" s="58" t="s">
        <v>161</v>
      </c>
      <c r="D232" s="58" t="s">
        <v>236</v>
      </c>
      <c r="H232" s="9">
        <f>+G231</f>
        <v>26892.240000000002</v>
      </c>
    </row>
    <row r="233" spans="1:13" x14ac:dyDescent="0.25">
      <c r="D233" t="s">
        <v>238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4F7A9-1C86-4928-AAE4-4A24EFC66A33}">
  <dimension ref="A1:P113"/>
  <sheetViews>
    <sheetView tabSelected="1" topLeftCell="A72" workbookViewId="0">
      <selection activeCell="G93" sqref="G93"/>
    </sheetView>
  </sheetViews>
  <sheetFormatPr defaultRowHeight="15" x14ac:dyDescent="0.25"/>
  <cols>
    <col min="1" max="1" width="4" customWidth="1"/>
    <col min="2" max="2" width="8.7109375" customWidth="1"/>
    <col min="7" max="8" width="12.85546875" style="3" bestFit="1" customWidth="1"/>
    <col min="12" max="12" width="14.7109375" style="3" customWidth="1"/>
    <col min="13" max="13" width="12" bestFit="1" customWidth="1"/>
    <col min="14" max="16" width="15.28515625" customWidth="1"/>
    <col min="17" max="17" width="10.5703125" bestFit="1" customWidth="1"/>
    <col min="18" max="18" width="10.28515625" bestFit="1" customWidth="1"/>
    <col min="19" max="19" width="10" bestFit="1" customWidth="1"/>
    <col min="20" max="20" width="9.28515625" bestFit="1" customWidth="1"/>
    <col min="21" max="21" width="6.5703125" bestFit="1" customWidth="1"/>
  </cols>
  <sheetData>
    <row r="1" spans="1:12" x14ac:dyDescent="0.25">
      <c r="I1" t="s">
        <v>289</v>
      </c>
      <c r="J1" t="s">
        <v>293</v>
      </c>
    </row>
    <row r="2" spans="1:12" x14ac:dyDescent="0.25">
      <c r="I2" t="s">
        <v>290</v>
      </c>
      <c r="J2" t="s">
        <v>294</v>
      </c>
    </row>
    <row r="3" spans="1:12" x14ac:dyDescent="0.25">
      <c r="A3" s="12" t="s">
        <v>159</v>
      </c>
    </row>
    <row r="5" spans="1:12" x14ac:dyDescent="0.25">
      <c r="B5" s="59" t="s">
        <v>179</v>
      </c>
    </row>
    <row r="7" spans="1:12" x14ac:dyDescent="0.25">
      <c r="C7" t="s">
        <v>160</v>
      </c>
      <c r="D7" t="s">
        <v>163</v>
      </c>
      <c r="G7" s="3">
        <v>7980.35</v>
      </c>
      <c r="K7" t="s">
        <v>262</v>
      </c>
      <c r="L7" s="3">
        <v>2500348.9500000002</v>
      </c>
    </row>
    <row r="8" spans="1:12" x14ac:dyDescent="0.25">
      <c r="C8" s="58" t="s">
        <v>161</v>
      </c>
      <c r="D8" s="58" t="s">
        <v>162</v>
      </c>
      <c r="H8" s="3">
        <f>+G7</f>
        <v>7980.35</v>
      </c>
      <c r="K8" t="s">
        <v>263</v>
      </c>
      <c r="L8" s="3">
        <v>-2492368.5999999996</v>
      </c>
    </row>
    <row r="9" spans="1:12" ht="15.75" thickBot="1" x14ac:dyDescent="0.3">
      <c r="E9" t="s">
        <v>164</v>
      </c>
      <c r="K9" t="s">
        <v>264</v>
      </c>
      <c r="L9" s="8">
        <f>SUM(L7:L8)</f>
        <v>7980.3500000005588</v>
      </c>
    </row>
    <row r="10" spans="1:12" ht="15.75" thickTop="1" x14ac:dyDescent="0.25"/>
    <row r="11" spans="1:12" x14ac:dyDescent="0.25">
      <c r="C11" t="s">
        <v>160</v>
      </c>
      <c r="D11" t="s">
        <v>162</v>
      </c>
      <c r="G11" s="3">
        <v>333.6699999999837</v>
      </c>
      <c r="K11" t="s">
        <v>262</v>
      </c>
      <c r="L11" s="3">
        <v>385122.81</v>
      </c>
    </row>
    <row r="12" spans="1:12" x14ac:dyDescent="0.25">
      <c r="C12" s="58" t="s">
        <v>161</v>
      </c>
      <c r="D12" s="58" t="s">
        <v>163</v>
      </c>
      <c r="H12" s="3">
        <f>+G11</f>
        <v>333.6699999999837</v>
      </c>
      <c r="K12" t="s">
        <v>263</v>
      </c>
      <c r="L12" s="3">
        <v>-385456.48</v>
      </c>
    </row>
    <row r="13" spans="1:12" ht="15.75" thickBot="1" x14ac:dyDescent="0.3">
      <c r="C13" s="58"/>
      <c r="D13" s="58"/>
      <c r="E13" t="s">
        <v>165</v>
      </c>
      <c r="K13" t="s">
        <v>264</v>
      </c>
      <c r="L13" s="8">
        <f>SUM(L11:L12)</f>
        <v>-333.6699999999837</v>
      </c>
    </row>
    <row r="14" spans="1:12" ht="15.75" thickTop="1" x14ac:dyDescent="0.25"/>
    <row r="15" spans="1:12" x14ac:dyDescent="0.25">
      <c r="C15" t="s">
        <v>160</v>
      </c>
      <c r="D15" t="s">
        <v>162</v>
      </c>
      <c r="G15" s="3">
        <v>122154.10999999987</v>
      </c>
      <c r="K15" t="s">
        <v>262</v>
      </c>
      <c r="L15" s="3">
        <v>3017966.31</v>
      </c>
    </row>
    <row r="16" spans="1:12" x14ac:dyDescent="0.25">
      <c r="C16" s="58" t="s">
        <v>161</v>
      </c>
      <c r="D16" s="58" t="s">
        <v>163</v>
      </c>
      <c r="H16" s="3">
        <f>+G15</f>
        <v>122154.10999999987</v>
      </c>
      <c r="K16" t="s">
        <v>263</v>
      </c>
      <c r="L16" s="3">
        <v>-3140120.42</v>
      </c>
    </row>
    <row r="17" spans="3:16" ht="15.75" thickBot="1" x14ac:dyDescent="0.3">
      <c r="E17" t="s">
        <v>166</v>
      </c>
      <c r="K17" t="s">
        <v>264</v>
      </c>
      <c r="L17" s="8">
        <f>SUM(L15:L16)</f>
        <v>-122154.10999999987</v>
      </c>
    </row>
    <row r="18" spans="3:16" ht="15.75" thickTop="1" x14ac:dyDescent="0.25"/>
    <row r="19" spans="3:16" x14ac:dyDescent="0.25">
      <c r="C19" t="s">
        <v>160</v>
      </c>
      <c r="D19" t="s">
        <v>162</v>
      </c>
      <c r="G19" s="3">
        <v>15214.969999998808</v>
      </c>
      <c r="K19" t="s">
        <v>262</v>
      </c>
      <c r="L19" s="3">
        <v>5044128.58</v>
      </c>
      <c r="N19" t="s">
        <v>262</v>
      </c>
      <c r="O19" s="3">
        <v>264534.03999999998</v>
      </c>
      <c r="P19" t="s">
        <v>265</v>
      </c>
    </row>
    <row r="20" spans="3:16" x14ac:dyDescent="0.25">
      <c r="C20" s="58" t="s">
        <v>161</v>
      </c>
      <c r="D20" s="58" t="s">
        <v>163</v>
      </c>
      <c r="H20" s="3">
        <f>+G19</f>
        <v>15214.969999998808</v>
      </c>
      <c r="K20" t="s">
        <v>263</v>
      </c>
      <c r="L20" s="3">
        <v>-5059343.5499999989</v>
      </c>
      <c r="N20" t="s">
        <v>263</v>
      </c>
      <c r="O20" s="3">
        <v>-264534.04000000004</v>
      </c>
    </row>
    <row r="21" spans="3:16" ht="15.75" thickBot="1" x14ac:dyDescent="0.3">
      <c r="E21" t="s">
        <v>167</v>
      </c>
      <c r="K21" t="s">
        <v>264</v>
      </c>
      <c r="L21" s="8">
        <f>SUM(L19:L20)</f>
        <v>-15214.969999998808</v>
      </c>
      <c r="N21" t="s">
        <v>264</v>
      </c>
      <c r="O21" s="8">
        <f>SUM(O19:O20)</f>
        <v>0</v>
      </c>
    </row>
    <row r="22" spans="3:16" ht="15.75" thickTop="1" x14ac:dyDescent="0.25"/>
    <row r="23" spans="3:16" x14ac:dyDescent="0.25">
      <c r="C23" t="s">
        <v>160</v>
      </c>
      <c r="D23" t="s">
        <v>162</v>
      </c>
      <c r="G23" s="3">
        <v>229700.33999999939</v>
      </c>
      <c r="K23" t="s">
        <v>262</v>
      </c>
      <c r="L23" s="3">
        <v>3923275.95</v>
      </c>
    </row>
    <row r="24" spans="3:16" x14ac:dyDescent="0.25">
      <c r="C24" s="58" t="s">
        <v>161</v>
      </c>
      <c r="D24" s="58" t="s">
        <v>163</v>
      </c>
      <c r="H24" s="3">
        <f>+G23</f>
        <v>229700.33999999939</v>
      </c>
      <c r="K24" t="s">
        <v>263</v>
      </c>
      <c r="L24" s="3">
        <v>-4152976.2899999996</v>
      </c>
    </row>
    <row r="25" spans="3:16" ht="15.75" thickBot="1" x14ac:dyDescent="0.3">
      <c r="C25" s="58"/>
      <c r="D25" s="58"/>
      <c r="E25" t="s">
        <v>168</v>
      </c>
      <c r="K25" t="s">
        <v>264</v>
      </c>
      <c r="L25" s="8">
        <f>SUM(L23:L24)</f>
        <v>-229700.33999999939</v>
      </c>
    </row>
    <row r="26" spans="3:16" ht="15.75" thickTop="1" x14ac:dyDescent="0.25"/>
    <row r="27" spans="3:16" x14ac:dyDescent="0.25">
      <c r="C27" t="s">
        <v>160</v>
      </c>
      <c r="D27" t="s">
        <v>162</v>
      </c>
      <c r="G27" s="3">
        <v>597.8199999993667</v>
      </c>
      <c r="K27" t="s">
        <v>262</v>
      </c>
      <c r="L27" s="3">
        <v>4628073.99</v>
      </c>
    </row>
    <row r="28" spans="3:16" x14ac:dyDescent="0.25">
      <c r="C28" s="58" t="s">
        <v>161</v>
      </c>
      <c r="D28" s="58" t="s">
        <v>163</v>
      </c>
      <c r="H28" s="3">
        <f>+G27</f>
        <v>597.8199999993667</v>
      </c>
      <c r="K28" t="s">
        <v>263</v>
      </c>
      <c r="L28" s="3">
        <v>-4628671.8099999996</v>
      </c>
    </row>
    <row r="29" spans="3:16" ht="15.75" thickBot="1" x14ac:dyDescent="0.3">
      <c r="E29" t="s">
        <v>169</v>
      </c>
      <c r="K29" t="s">
        <v>264</v>
      </c>
      <c r="L29" s="8">
        <f>SUM(L27:L28)</f>
        <v>-597.8199999993667</v>
      </c>
    </row>
    <row r="30" spans="3:16" ht="15.75" thickTop="1" x14ac:dyDescent="0.25"/>
    <row r="31" spans="3:16" x14ac:dyDescent="0.25">
      <c r="C31" t="s">
        <v>160</v>
      </c>
      <c r="D31" t="s">
        <v>162</v>
      </c>
      <c r="G31" s="3">
        <v>28.180000000000291</v>
      </c>
      <c r="K31" t="s">
        <v>262</v>
      </c>
      <c r="L31" s="3">
        <v>160015.13</v>
      </c>
    </row>
    <row r="32" spans="3:16" x14ac:dyDescent="0.25">
      <c r="C32" s="58" t="s">
        <v>161</v>
      </c>
      <c r="D32" s="58" t="s">
        <v>163</v>
      </c>
      <c r="H32" s="3">
        <f>+G31</f>
        <v>28.180000000000291</v>
      </c>
      <c r="K32" t="s">
        <v>263</v>
      </c>
      <c r="L32" s="3">
        <f>-165451.6+5408.29</f>
        <v>-160043.31</v>
      </c>
    </row>
    <row r="33" spans="2:12" ht="15.75" thickBot="1" x14ac:dyDescent="0.3">
      <c r="E33" t="s">
        <v>170</v>
      </c>
      <c r="K33" t="s">
        <v>264</v>
      </c>
      <c r="L33" s="8">
        <f>SUM(L31:L32)</f>
        <v>-28.179999999993015</v>
      </c>
    </row>
    <row r="34" spans="2:12" ht="15.75" thickTop="1" x14ac:dyDescent="0.25"/>
    <row r="35" spans="2:12" x14ac:dyDescent="0.25">
      <c r="C35" t="s">
        <v>160</v>
      </c>
      <c r="D35" t="s">
        <v>162</v>
      </c>
      <c r="G35" s="3">
        <v>32388.939999999478</v>
      </c>
      <c r="K35" t="s">
        <v>262</v>
      </c>
      <c r="L35" s="3">
        <v>6549260.2999999998</v>
      </c>
    </row>
    <row r="36" spans="2:12" x14ac:dyDescent="0.25">
      <c r="C36" s="58" t="s">
        <v>161</v>
      </c>
      <c r="D36" s="58" t="s">
        <v>163</v>
      </c>
      <c r="H36" s="3">
        <f>+G35</f>
        <v>32388.939999999478</v>
      </c>
      <c r="K36" t="s">
        <v>263</v>
      </c>
      <c r="L36" s="3">
        <v>-6581649.2399999993</v>
      </c>
    </row>
    <row r="37" spans="2:12" ht="15.75" thickBot="1" x14ac:dyDescent="0.3">
      <c r="E37" t="s">
        <v>171</v>
      </c>
      <c r="K37" t="s">
        <v>264</v>
      </c>
      <c r="L37" s="8">
        <f>SUM(L35:L36)</f>
        <v>-32388.939999999478</v>
      </c>
    </row>
    <row r="38" spans="2:12" ht="15.75" thickTop="1" x14ac:dyDescent="0.25"/>
    <row r="39" spans="2:12" x14ac:dyDescent="0.25">
      <c r="C39" t="s">
        <v>160</v>
      </c>
      <c r="D39" t="s">
        <v>162</v>
      </c>
      <c r="G39" s="3">
        <v>111532.62999999966</v>
      </c>
      <c r="K39" t="s">
        <v>262</v>
      </c>
      <c r="L39" s="3">
        <v>1974291.27</v>
      </c>
    </row>
    <row r="40" spans="2:12" x14ac:dyDescent="0.25">
      <c r="C40" s="58" t="s">
        <v>161</v>
      </c>
      <c r="D40" s="58" t="s">
        <v>163</v>
      </c>
      <c r="H40" s="3">
        <f>+G39</f>
        <v>111532.62999999966</v>
      </c>
      <c r="K40" t="s">
        <v>263</v>
      </c>
      <c r="L40" s="3">
        <v>-2085823.8999999997</v>
      </c>
    </row>
    <row r="41" spans="2:12" ht="15.75" thickBot="1" x14ac:dyDescent="0.3">
      <c r="E41" t="s">
        <v>172</v>
      </c>
      <c r="K41" t="s">
        <v>264</v>
      </c>
      <c r="L41" s="8">
        <f>SUM(L39:L40)</f>
        <v>-111532.62999999966</v>
      </c>
    </row>
    <row r="42" spans="2:12" ht="15.75" thickTop="1" x14ac:dyDescent="0.25"/>
    <row r="43" spans="2:12" x14ac:dyDescent="0.25">
      <c r="C43" t="s">
        <v>160</v>
      </c>
      <c r="D43" t="s">
        <v>162</v>
      </c>
      <c r="G43" s="3">
        <v>955.2899999999936</v>
      </c>
      <c r="K43" t="s">
        <v>262</v>
      </c>
      <c r="L43" s="3">
        <v>231050.26</v>
      </c>
    </row>
    <row r="44" spans="2:12" x14ac:dyDescent="0.25">
      <c r="C44" s="58" t="s">
        <v>161</v>
      </c>
      <c r="D44" s="58" t="s">
        <v>163</v>
      </c>
      <c r="H44" s="3">
        <f>+G43</f>
        <v>955.2899999999936</v>
      </c>
      <c r="K44" t="s">
        <v>263</v>
      </c>
      <c r="L44" s="3">
        <f>-297387.17+65381.62</f>
        <v>-232005.55</v>
      </c>
    </row>
    <row r="45" spans="2:12" ht="15.75" thickBot="1" x14ac:dyDescent="0.3">
      <c r="E45" t="s">
        <v>173</v>
      </c>
      <c r="K45" t="s">
        <v>264</v>
      </c>
      <c r="L45" s="8">
        <f>SUM(L43:L44)</f>
        <v>-955.28999999997905</v>
      </c>
    </row>
    <row r="46" spans="2:12" ht="15.75" thickTop="1" x14ac:dyDescent="0.25"/>
    <row r="47" spans="2:12" x14ac:dyDescent="0.25">
      <c r="B47" s="59" t="s">
        <v>183</v>
      </c>
    </row>
    <row r="49" spans="1:15" x14ac:dyDescent="0.25">
      <c r="C49" t="s">
        <v>160</v>
      </c>
      <c r="D49" t="s">
        <v>180</v>
      </c>
      <c r="G49" s="3">
        <v>544.88</v>
      </c>
    </row>
    <row r="50" spans="1:15" x14ac:dyDescent="0.25">
      <c r="C50" s="58" t="s">
        <v>161</v>
      </c>
      <c r="D50" s="58" t="s">
        <v>163</v>
      </c>
      <c r="H50" s="3">
        <f>+G49</f>
        <v>544.88</v>
      </c>
    </row>
    <row r="51" spans="1:15" x14ac:dyDescent="0.25">
      <c r="E51" t="s">
        <v>181</v>
      </c>
    </row>
    <row r="53" spans="1:15" x14ac:dyDescent="0.25">
      <c r="C53" t="s">
        <v>160</v>
      </c>
      <c r="D53" t="s">
        <v>163</v>
      </c>
      <c r="G53" s="3">
        <v>183.22</v>
      </c>
    </row>
    <row r="54" spans="1:15" x14ac:dyDescent="0.25">
      <c r="C54" s="58" t="s">
        <v>161</v>
      </c>
      <c r="D54" s="58" t="s">
        <v>180</v>
      </c>
      <c r="H54" s="3">
        <f>+G53</f>
        <v>183.22</v>
      </c>
    </row>
    <row r="55" spans="1:15" x14ac:dyDescent="0.25">
      <c r="E55" t="s">
        <v>184</v>
      </c>
    </row>
    <row r="57" spans="1:15" x14ac:dyDescent="0.25">
      <c r="C57" s="58"/>
      <c r="D57" s="58"/>
    </row>
    <row r="58" spans="1:15" x14ac:dyDescent="0.25">
      <c r="A58" s="12" t="s">
        <v>185</v>
      </c>
    </row>
    <row r="60" spans="1:15" x14ac:dyDescent="0.25">
      <c r="B60" s="59" t="s">
        <v>179</v>
      </c>
      <c r="J60" s="17"/>
      <c r="K60" s="17"/>
    </row>
    <row r="61" spans="1:15" x14ac:dyDescent="0.25">
      <c r="C61" t="s">
        <v>160</v>
      </c>
      <c r="D61" t="s">
        <v>163</v>
      </c>
      <c r="G61" s="3">
        <v>345.77</v>
      </c>
      <c r="K61" s="54" t="s">
        <v>196</v>
      </c>
      <c r="L61" s="49"/>
      <c r="M61" s="54"/>
      <c r="N61" s="54"/>
    </row>
    <row r="62" spans="1:15" x14ac:dyDescent="0.25">
      <c r="C62" s="58" t="s">
        <v>161</v>
      </c>
      <c r="D62" s="58" t="s">
        <v>186</v>
      </c>
      <c r="H62" s="3">
        <f>+G61</f>
        <v>345.77</v>
      </c>
      <c r="M62" t="s">
        <v>97</v>
      </c>
      <c r="N62" s="3">
        <v>-4723.6000000000004</v>
      </c>
      <c r="O62" t="s">
        <v>100</v>
      </c>
    </row>
    <row r="63" spans="1:15" x14ac:dyDescent="0.25">
      <c r="E63" t="s">
        <v>187</v>
      </c>
      <c r="M63" t="s">
        <v>99</v>
      </c>
      <c r="N63" s="3">
        <v>4761.96</v>
      </c>
      <c r="O63" t="s">
        <v>101</v>
      </c>
    </row>
    <row r="64" spans="1:15" x14ac:dyDescent="0.25">
      <c r="M64" t="s">
        <v>98</v>
      </c>
      <c r="N64" s="3">
        <v>-13826.46</v>
      </c>
      <c r="O64" t="s">
        <v>100</v>
      </c>
    </row>
    <row r="65" spans="2:13" x14ac:dyDescent="0.25">
      <c r="C65" t="s">
        <v>160</v>
      </c>
      <c r="D65" t="s">
        <v>163</v>
      </c>
      <c r="G65" s="61">
        <v>48339.18</v>
      </c>
      <c r="H65" s="61"/>
    </row>
    <row r="66" spans="2:13" x14ac:dyDescent="0.25">
      <c r="C66" s="58" t="s">
        <v>161</v>
      </c>
      <c r="D66" s="58" t="s">
        <v>186</v>
      </c>
      <c r="G66" s="61"/>
      <c r="H66" s="61">
        <f>+G65</f>
        <v>48339.18</v>
      </c>
      <c r="I66" t="s">
        <v>261</v>
      </c>
    </row>
    <row r="67" spans="2:13" x14ac:dyDescent="0.25">
      <c r="E67" t="s">
        <v>191</v>
      </c>
      <c r="J67" s="5"/>
    </row>
    <row r="68" spans="2:13" x14ac:dyDescent="0.25">
      <c r="J68" s="17"/>
      <c r="K68" s="17"/>
    </row>
    <row r="70" spans="2:13" x14ac:dyDescent="0.25">
      <c r="B70" s="59" t="s">
        <v>183</v>
      </c>
    </row>
    <row r="71" spans="2:13" x14ac:dyDescent="0.25">
      <c r="M71" s="45"/>
    </row>
    <row r="72" spans="2:13" x14ac:dyDescent="0.25">
      <c r="C72" t="s">
        <v>160</v>
      </c>
      <c r="D72" t="s">
        <v>163</v>
      </c>
      <c r="G72" s="3">
        <v>146.94999999999999</v>
      </c>
      <c r="M72" s="3"/>
    </row>
    <row r="73" spans="2:13" x14ac:dyDescent="0.25">
      <c r="C73" s="58" t="s">
        <v>161</v>
      </c>
      <c r="D73" s="58" t="s">
        <v>197</v>
      </c>
      <c r="H73" s="3">
        <f>+G72</f>
        <v>146.94999999999999</v>
      </c>
    </row>
    <row r="74" spans="2:13" x14ac:dyDescent="0.25">
      <c r="E74" t="s">
        <v>184</v>
      </c>
    </row>
    <row r="76" spans="2:13" x14ac:dyDescent="0.25">
      <c r="C76" t="s">
        <v>160</v>
      </c>
      <c r="D76" t="s">
        <v>197</v>
      </c>
      <c r="G76" s="3">
        <v>6136.41</v>
      </c>
    </row>
    <row r="77" spans="2:13" x14ac:dyDescent="0.25">
      <c r="C77" s="58" t="s">
        <v>161</v>
      </c>
      <c r="D77" s="58" t="s">
        <v>163</v>
      </c>
      <c r="H77" s="3">
        <f>+G76</f>
        <v>6136.41</v>
      </c>
    </row>
    <row r="78" spans="2:13" x14ac:dyDescent="0.25">
      <c r="E78" t="s">
        <v>198</v>
      </c>
    </row>
    <row r="80" spans="2:13" x14ac:dyDescent="0.25">
      <c r="B80" s="59" t="s">
        <v>200</v>
      </c>
    </row>
    <row r="81" spans="1:15" x14ac:dyDescent="0.25">
      <c r="K81" s="54" t="s">
        <v>196</v>
      </c>
      <c r="L81" s="49"/>
      <c r="M81" s="54"/>
      <c r="N81" s="54"/>
    </row>
    <row r="82" spans="1:15" x14ac:dyDescent="0.25">
      <c r="D82" t="s">
        <v>201</v>
      </c>
      <c r="M82" s="17" t="s">
        <v>89</v>
      </c>
      <c r="N82" s="3">
        <v>3085.8</v>
      </c>
      <c r="O82" t="s">
        <v>202</v>
      </c>
    </row>
    <row r="83" spans="1:15" x14ac:dyDescent="0.25">
      <c r="C83" s="58"/>
      <c r="D83" s="58"/>
      <c r="N83" s="3"/>
    </row>
    <row r="84" spans="1:15" x14ac:dyDescent="0.25">
      <c r="N84" s="3"/>
    </row>
    <row r="87" spans="1:15" x14ac:dyDescent="0.25">
      <c r="A87" s="12" t="s">
        <v>203</v>
      </c>
    </row>
    <row r="89" spans="1:15" x14ac:dyDescent="0.25">
      <c r="B89" s="59" t="s">
        <v>179</v>
      </c>
    </row>
    <row r="92" spans="1:15" x14ac:dyDescent="0.25">
      <c r="B92" s="59" t="s">
        <v>183</v>
      </c>
    </row>
    <row r="94" spans="1:15" x14ac:dyDescent="0.25">
      <c r="C94" t="s">
        <v>160</v>
      </c>
      <c r="D94" t="s">
        <v>215</v>
      </c>
      <c r="G94" s="9">
        <f>+MVE!S29</f>
        <v>23195.719999999998</v>
      </c>
    </row>
    <row r="95" spans="1:15" x14ac:dyDescent="0.25">
      <c r="C95" s="58" t="s">
        <v>161</v>
      </c>
      <c r="D95" s="58" t="s">
        <v>225</v>
      </c>
      <c r="H95" s="3">
        <f>+G94</f>
        <v>23195.719999999998</v>
      </c>
    </row>
    <row r="96" spans="1:15" x14ac:dyDescent="0.25">
      <c r="E96" t="s">
        <v>226</v>
      </c>
    </row>
    <row r="98" spans="1:8" x14ac:dyDescent="0.25">
      <c r="C98" t="s">
        <v>160</v>
      </c>
      <c r="D98" t="s">
        <v>225</v>
      </c>
      <c r="G98" s="9">
        <v>248383.41</v>
      </c>
    </row>
    <row r="99" spans="1:8" x14ac:dyDescent="0.25">
      <c r="C99" s="58" t="s">
        <v>161</v>
      </c>
      <c r="D99" s="58" t="s">
        <v>215</v>
      </c>
      <c r="H99" s="3">
        <f>+G98</f>
        <v>248383.41</v>
      </c>
    </row>
    <row r="100" spans="1:8" x14ac:dyDescent="0.25">
      <c r="E100" t="s">
        <v>227</v>
      </c>
    </row>
    <row r="103" spans="1:8" x14ac:dyDescent="0.25">
      <c r="A103" s="12" t="s">
        <v>230</v>
      </c>
    </row>
    <row r="104" spans="1:8" x14ac:dyDescent="0.25">
      <c r="B104" s="59" t="s">
        <v>183</v>
      </c>
    </row>
    <row r="105" spans="1:8" x14ac:dyDescent="0.25">
      <c r="C105" t="s">
        <v>160</v>
      </c>
      <c r="D105" t="s">
        <v>231</v>
      </c>
      <c r="G105" s="3">
        <v>30</v>
      </c>
    </row>
    <row r="106" spans="1:8" x14ac:dyDescent="0.25">
      <c r="C106" s="58" t="s">
        <v>161</v>
      </c>
      <c r="D106" s="58" t="s">
        <v>232</v>
      </c>
      <c r="H106" s="3">
        <f>+G105</f>
        <v>30</v>
      </c>
    </row>
    <row r="107" spans="1:8" x14ac:dyDescent="0.25">
      <c r="D107" t="s">
        <v>233</v>
      </c>
    </row>
    <row r="110" spans="1:8" x14ac:dyDescent="0.25">
      <c r="B110" s="59" t="s">
        <v>229</v>
      </c>
    </row>
    <row r="111" spans="1:8" x14ac:dyDescent="0.25">
      <c r="C111" t="s">
        <v>160</v>
      </c>
      <c r="D111" t="s">
        <v>295</v>
      </c>
      <c r="G111" s="3">
        <v>0.06</v>
      </c>
    </row>
    <row r="112" spans="1:8" x14ac:dyDescent="0.25">
      <c r="C112" s="58" t="s">
        <v>161</v>
      </c>
      <c r="D112" s="58" t="s">
        <v>232</v>
      </c>
      <c r="H112" s="3">
        <f>+G111</f>
        <v>0.06</v>
      </c>
    </row>
    <row r="113" spans="4:4" x14ac:dyDescent="0.25">
      <c r="D113" t="s">
        <v>234</v>
      </c>
    </row>
  </sheetData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B7D90-2A1B-4114-ABCA-0A64FA1F56AD}">
  <dimension ref="A1:D23"/>
  <sheetViews>
    <sheetView workbookViewId="0">
      <selection activeCell="F19" sqref="F19"/>
    </sheetView>
  </sheetViews>
  <sheetFormatPr defaultRowHeight="15" x14ac:dyDescent="0.25"/>
  <cols>
    <col min="1" max="1" width="14.28515625" bestFit="1" customWidth="1"/>
    <col min="2" max="2" width="25.28515625" bestFit="1" customWidth="1"/>
    <col min="3" max="4" width="14.7109375" bestFit="1" customWidth="1"/>
  </cols>
  <sheetData>
    <row r="1" spans="1:4" x14ac:dyDescent="0.25">
      <c r="A1" s="64" t="s">
        <v>266</v>
      </c>
      <c r="B1" t="s">
        <v>186</v>
      </c>
    </row>
    <row r="3" spans="1:4" x14ac:dyDescent="0.25">
      <c r="A3" s="64" t="s">
        <v>267</v>
      </c>
      <c r="B3" s="64" t="s">
        <v>268</v>
      </c>
    </row>
    <row r="4" spans="1:4" x14ac:dyDescent="0.25">
      <c r="A4" s="64" t="s">
        <v>269</v>
      </c>
      <c r="B4" t="s">
        <v>270</v>
      </c>
      <c r="C4" t="s">
        <v>271</v>
      </c>
      <c r="D4" t="s">
        <v>272</v>
      </c>
    </row>
    <row r="5" spans="1:4" x14ac:dyDescent="0.25">
      <c r="A5" s="62" t="s">
        <v>131</v>
      </c>
      <c r="B5" s="5"/>
      <c r="C5" s="5">
        <v>-17326283.429999996</v>
      </c>
      <c r="D5" s="5">
        <v>-17326283.429999996</v>
      </c>
    </row>
    <row r="6" spans="1:4" x14ac:dyDescent="0.25">
      <c r="A6" s="63" t="s">
        <v>273</v>
      </c>
      <c r="B6" s="5"/>
      <c r="C6" s="5">
        <v>-8862285.4199999981</v>
      </c>
      <c r="D6" s="5">
        <v>-8862285.4199999981</v>
      </c>
    </row>
    <row r="7" spans="1:4" x14ac:dyDescent="0.25">
      <c r="A7" s="58" t="s">
        <v>274</v>
      </c>
      <c r="B7" s="5"/>
      <c r="C7" s="5">
        <v>-5984460.3399999989</v>
      </c>
      <c r="D7" s="5">
        <v>-5984460.3399999989</v>
      </c>
    </row>
    <row r="8" spans="1:4" x14ac:dyDescent="0.25">
      <c r="A8" s="58" t="s">
        <v>275</v>
      </c>
      <c r="B8" s="5"/>
      <c r="C8" s="5">
        <v>-2492368.5999999996</v>
      </c>
      <c r="D8" s="5">
        <v>-2492368.5999999996</v>
      </c>
    </row>
    <row r="9" spans="1:4" x14ac:dyDescent="0.25">
      <c r="A9" s="58" t="s">
        <v>276</v>
      </c>
      <c r="B9" s="5"/>
      <c r="C9" s="5">
        <v>-385456.48</v>
      </c>
      <c r="D9" s="5">
        <v>-385456.48</v>
      </c>
    </row>
    <row r="10" spans="1:4" x14ac:dyDescent="0.25">
      <c r="A10" s="63" t="s">
        <v>277</v>
      </c>
      <c r="B10" s="5"/>
      <c r="C10" s="5">
        <v>-8463998.0099999979</v>
      </c>
      <c r="D10" s="5">
        <v>-8463998.0099999979</v>
      </c>
    </row>
    <row r="11" spans="1:4" x14ac:dyDescent="0.25">
      <c r="A11" s="58" t="s">
        <v>278</v>
      </c>
      <c r="B11" s="5"/>
      <c r="C11" s="5">
        <v>-3140120.42</v>
      </c>
      <c r="D11" s="5">
        <v>-3140120.42</v>
      </c>
    </row>
    <row r="12" spans="1:4" x14ac:dyDescent="0.25">
      <c r="A12" s="58" t="s">
        <v>279</v>
      </c>
      <c r="B12" s="5"/>
      <c r="C12" s="5">
        <v>-5059343.5499999989</v>
      </c>
      <c r="D12" s="5">
        <v>-5059343.5499999989</v>
      </c>
    </row>
    <row r="13" spans="1:4" x14ac:dyDescent="0.25">
      <c r="A13" s="58" t="s">
        <v>280</v>
      </c>
      <c r="B13" s="5"/>
      <c r="C13" s="5">
        <v>-264534.04000000004</v>
      </c>
      <c r="D13" s="5">
        <v>-264534.04000000004</v>
      </c>
    </row>
    <row r="14" spans="1:4" x14ac:dyDescent="0.25">
      <c r="A14" s="62" t="s">
        <v>132</v>
      </c>
      <c r="B14" s="5">
        <v>70789.91</v>
      </c>
      <c r="C14" s="5">
        <v>-17911960.009999998</v>
      </c>
      <c r="D14" s="5">
        <v>-17841170.099999998</v>
      </c>
    </row>
    <row r="15" spans="1:4" x14ac:dyDescent="0.25">
      <c r="A15" s="63" t="s">
        <v>281</v>
      </c>
      <c r="B15" s="5">
        <v>5408.29</v>
      </c>
      <c r="C15" s="5">
        <v>-8947099.6999999993</v>
      </c>
      <c r="D15" s="5">
        <v>-8941691.4100000001</v>
      </c>
    </row>
    <row r="16" spans="1:4" x14ac:dyDescent="0.25">
      <c r="A16" s="58" t="s">
        <v>282</v>
      </c>
      <c r="B16" s="5"/>
      <c r="C16" s="5">
        <v>-4152976.2899999996</v>
      </c>
      <c r="D16" s="5">
        <v>-4152976.2899999996</v>
      </c>
    </row>
    <row r="17" spans="1:4" x14ac:dyDescent="0.25">
      <c r="A17" s="58" t="s">
        <v>283</v>
      </c>
      <c r="B17" s="5"/>
      <c r="C17" s="5">
        <v>-4628671.8099999996</v>
      </c>
      <c r="D17" s="5">
        <v>-4628671.8099999996</v>
      </c>
    </row>
    <row r="18" spans="1:4" x14ac:dyDescent="0.25">
      <c r="A18" s="58" t="s">
        <v>284</v>
      </c>
      <c r="B18" s="5">
        <v>5408.29</v>
      </c>
      <c r="C18" s="5">
        <v>-165451.6</v>
      </c>
      <c r="D18" s="5">
        <v>-160043.31</v>
      </c>
    </row>
    <row r="19" spans="1:4" x14ac:dyDescent="0.25">
      <c r="A19" s="63" t="s">
        <v>285</v>
      </c>
      <c r="B19" s="5">
        <v>65381.62000000001</v>
      </c>
      <c r="C19" s="5">
        <v>-8964860.3099999987</v>
      </c>
      <c r="D19" s="5">
        <v>-8899478.6899999995</v>
      </c>
    </row>
    <row r="20" spans="1:4" x14ac:dyDescent="0.25">
      <c r="A20" s="58" t="s">
        <v>286</v>
      </c>
      <c r="B20" s="5"/>
      <c r="C20" s="5">
        <v>-6581649.2399999993</v>
      </c>
      <c r="D20" s="5">
        <v>-6581649.2399999993</v>
      </c>
    </row>
    <row r="21" spans="1:4" x14ac:dyDescent="0.25">
      <c r="A21" s="58" t="s">
        <v>287</v>
      </c>
      <c r="B21" s="5"/>
      <c r="C21" s="5">
        <v>-2085823.8999999997</v>
      </c>
      <c r="D21" s="5">
        <v>-2085823.8999999997</v>
      </c>
    </row>
    <row r="22" spans="1:4" x14ac:dyDescent="0.25">
      <c r="A22" s="58" t="s">
        <v>288</v>
      </c>
      <c r="B22" s="5">
        <v>65381.62000000001</v>
      </c>
      <c r="C22" s="5">
        <v>-297387.17</v>
      </c>
      <c r="D22" s="5">
        <v>-232005.55</v>
      </c>
    </row>
    <row r="23" spans="1:4" x14ac:dyDescent="0.25">
      <c r="A23" s="62" t="s">
        <v>272</v>
      </c>
      <c r="B23" s="5">
        <v>70789.91</v>
      </c>
      <c r="C23" s="5">
        <v>-35238243.439999998</v>
      </c>
      <c r="D23" s="5">
        <v>-35167453.529999986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:R158"/>
  <sheetViews>
    <sheetView topLeftCell="F1" zoomScaleNormal="100" workbookViewId="0">
      <pane ySplit="2" topLeftCell="A43" activePane="bottomLeft" state="frozen"/>
      <selection activeCell="O26" sqref="O26:P26"/>
      <selection pane="bottomLeft" activeCell="T33" sqref="T33"/>
    </sheetView>
  </sheetViews>
  <sheetFormatPr defaultRowHeight="15" x14ac:dyDescent="0.25"/>
  <cols>
    <col min="1" max="1" width="14" customWidth="1"/>
    <col min="2" max="2" width="14.5703125" bestFit="1" customWidth="1"/>
    <col min="3" max="3" width="14.42578125" bestFit="1" customWidth="1"/>
    <col min="4" max="4" width="14.5703125" bestFit="1" customWidth="1"/>
    <col min="5" max="5" width="13.85546875" customWidth="1"/>
    <col min="6" max="6" width="11.140625" bestFit="1" customWidth="1"/>
    <col min="7" max="7" width="13.7109375" customWidth="1"/>
    <col min="8" max="8" width="11.85546875" customWidth="1"/>
    <col min="9" max="9" width="13" customWidth="1"/>
    <col min="10" max="10" width="9" bestFit="1" customWidth="1"/>
    <col min="11" max="11" width="16.28515625" bestFit="1" customWidth="1"/>
    <col min="12" max="12" width="3.85546875" customWidth="1"/>
    <col min="13" max="13" width="20" bestFit="1" customWidth="1"/>
    <col min="14" max="14" width="14.5703125" bestFit="1" customWidth="1"/>
    <col min="15" max="15" width="12.28515625" bestFit="1" customWidth="1"/>
    <col min="16" max="16" width="19" bestFit="1" customWidth="1"/>
    <col min="17" max="17" width="11.28515625" bestFit="1" customWidth="1"/>
  </cols>
  <sheetData>
    <row r="2" spans="1:18" ht="15.75" x14ac:dyDescent="0.25">
      <c r="A2" s="22" t="s">
        <v>18</v>
      </c>
    </row>
    <row r="3" spans="1:18" ht="18.75" x14ac:dyDescent="0.25">
      <c r="A3" s="23">
        <v>2023</v>
      </c>
    </row>
    <row r="4" spans="1:18" x14ac:dyDescent="0.25">
      <c r="A4" s="33" t="s">
        <v>48</v>
      </c>
      <c r="M4" s="32" t="s">
        <v>49</v>
      </c>
    </row>
    <row r="5" spans="1:18" x14ac:dyDescent="0.25">
      <c r="C5" s="10" t="s">
        <v>19</v>
      </c>
      <c r="D5" s="10" t="s">
        <v>20</v>
      </c>
      <c r="E5" s="10" t="s">
        <v>19</v>
      </c>
      <c r="F5" s="10" t="s">
        <v>19</v>
      </c>
      <c r="G5" s="10" t="s">
        <v>20</v>
      </c>
      <c r="H5" s="10" t="s">
        <v>20</v>
      </c>
      <c r="I5" s="10" t="s">
        <v>21</v>
      </c>
      <c r="J5" s="10" t="s">
        <v>20</v>
      </c>
      <c r="K5" s="7" t="s">
        <v>10</v>
      </c>
      <c r="L5" s="7"/>
      <c r="M5" s="7" t="s">
        <v>9</v>
      </c>
    </row>
    <row r="6" spans="1:18" x14ac:dyDescent="0.25">
      <c r="B6" s="4" t="s">
        <v>1</v>
      </c>
      <c r="C6" s="6" t="s">
        <v>2</v>
      </c>
      <c r="D6" s="6" t="s">
        <v>3</v>
      </c>
      <c r="E6" s="6" t="s">
        <v>12</v>
      </c>
      <c r="F6" s="6" t="s">
        <v>4</v>
      </c>
      <c r="G6" s="6" t="s">
        <v>5</v>
      </c>
      <c r="H6" s="6" t="s">
        <v>13</v>
      </c>
      <c r="I6" s="6" t="s">
        <v>6</v>
      </c>
      <c r="J6" s="6" t="s">
        <v>7</v>
      </c>
      <c r="K6" s="6" t="s">
        <v>8</v>
      </c>
      <c r="L6" s="7"/>
      <c r="M6" s="6" t="s">
        <v>8</v>
      </c>
      <c r="N6" s="6" t="s">
        <v>14</v>
      </c>
    </row>
    <row r="7" spans="1:18" x14ac:dyDescent="0.25">
      <c r="A7" s="2">
        <v>44773</v>
      </c>
      <c r="B7" s="3">
        <v>0</v>
      </c>
      <c r="C7" s="9">
        <v>201384.22</v>
      </c>
      <c r="D7" s="9">
        <v>-254139.87</v>
      </c>
      <c r="E7" s="9"/>
      <c r="F7" s="9"/>
      <c r="G7" s="9"/>
      <c r="H7" s="9"/>
      <c r="I7" s="9"/>
      <c r="J7" s="9"/>
      <c r="K7" s="9">
        <f>SUM(B7:J7)</f>
        <v>-52755.649999999994</v>
      </c>
      <c r="M7" s="9">
        <v>-6243.7</v>
      </c>
      <c r="N7" s="9">
        <f t="shared" ref="N7:N18" si="0">+K7-M7</f>
        <v>-46511.95</v>
      </c>
      <c r="Q7" s="3"/>
      <c r="R7" s="3"/>
    </row>
    <row r="8" spans="1:18" x14ac:dyDescent="0.25">
      <c r="A8" s="2">
        <f>+A7+31</f>
        <v>44804</v>
      </c>
      <c r="B8" s="3">
        <f>+K7</f>
        <v>-52755.649999999994</v>
      </c>
      <c r="C8" s="9"/>
      <c r="D8" s="9">
        <v>-1972.19</v>
      </c>
      <c r="E8" s="9"/>
      <c r="F8" s="9"/>
      <c r="G8" s="9"/>
      <c r="H8" s="9"/>
      <c r="I8" s="9"/>
      <c r="J8" s="9"/>
      <c r="K8" s="9">
        <f>SUM(B8:J8)</f>
        <v>-54727.839999999997</v>
      </c>
      <c r="M8" s="9">
        <f>+M7-241888.01</f>
        <v>-248131.71000000002</v>
      </c>
      <c r="N8" s="9">
        <f>+K8-M8</f>
        <v>193403.87000000002</v>
      </c>
      <c r="P8" s="17" t="s">
        <v>174</v>
      </c>
      <c r="Q8" s="3">
        <v>506.64</v>
      </c>
      <c r="R8" s="3"/>
    </row>
    <row r="9" spans="1:18" x14ac:dyDescent="0.25">
      <c r="A9" s="2">
        <f>+A8+30</f>
        <v>44834</v>
      </c>
      <c r="B9" s="3">
        <f t="shared" ref="B9:B18" si="1">+K8</f>
        <v>-54727.839999999997</v>
      </c>
      <c r="C9" s="9"/>
      <c r="D9" s="9">
        <v>-333.67</v>
      </c>
      <c r="E9" s="9"/>
      <c r="F9" s="9"/>
      <c r="G9" s="9"/>
      <c r="H9" s="9"/>
      <c r="I9" s="9"/>
      <c r="J9" s="9"/>
      <c r="K9" s="9">
        <f t="shared" ref="K9:K18" si="2">SUM(B9:J9)</f>
        <v>-55061.509999999995</v>
      </c>
      <c r="M9" s="9">
        <f>+M8-667.34</f>
        <v>-248799.05000000002</v>
      </c>
      <c r="N9" s="9">
        <f t="shared" si="0"/>
        <v>193737.54000000004</v>
      </c>
      <c r="P9" s="17" t="s">
        <v>175</v>
      </c>
      <c r="Q9" s="3">
        <v>-2486.7600000000002</v>
      </c>
      <c r="R9" s="3" t="s">
        <v>189</v>
      </c>
    </row>
    <row r="10" spans="1:18" x14ac:dyDescent="0.25">
      <c r="A10" s="2">
        <f t="shared" ref="A10:A17" si="3">+A9+31</f>
        <v>44865</v>
      </c>
      <c r="B10" s="3">
        <f t="shared" si="1"/>
        <v>-55061.509999999995</v>
      </c>
      <c r="C10" s="9">
        <v>198888.64</v>
      </c>
      <c r="D10" s="9">
        <v>-122154.11</v>
      </c>
      <c r="E10" s="9"/>
      <c r="F10" s="9"/>
      <c r="G10" s="9"/>
      <c r="H10" s="9"/>
      <c r="I10" s="9"/>
      <c r="J10" s="9"/>
      <c r="K10" s="9">
        <f t="shared" si="2"/>
        <v>21673.020000000004</v>
      </c>
      <c r="M10" s="9">
        <f>+M9-244308.22</f>
        <v>-493107.27</v>
      </c>
      <c r="N10" s="9">
        <f t="shared" si="0"/>
        <v>514780.29000000004</v>
      </c>
      <c r="P10" t="s">
        <v>176</v>
      </c>
      <c r="Q10" s="3">
        <v>5.41</v>
      </c>
      <c r="R10" s="3"/>
    </row>
    <row r="11" spans="1:18" x14ac:dyDescent="0.25">
      <c r="A11" s="2">
        <f>+A10+30</f>
        <v>44895</v>
      </c>
      <c r="B11" s="3">
        <f t="shared" si="1"/>
        <v>21673.020000000004</v>
      </c>
      <c r="C11" s="9"/>
      <c r="D11" s="9">
        <v>-6214.97</v>
      </c>
      <c r="E11" s="9"/>
      <c r="F11" s="9"/>
      <c r="G11" s="9"/>
      <c r="H11" s="9"/>
      <c r="I11" s="9"/>
      <c r="J11" s="9"/>
      <c r="K11" s="9">
        <f t="shared" si="2"/>
        <v>15458.050000000003</v>
      </c>
      <c r="M11" s="9">
        <f>+M10-21186.59</f>
        <v>-514293.86000000004</v>
      </c>
      <c r="N11" s="9">
        <f t="shared" si="0"/>
        <v>529751.91</v>
      </c>
      <c r="P11" t="s">
        <v>102</v>
      </c>
      <c r="Q11" s="3">
        <v>-7980.3500000005588</v>
      </c>
      <c r="R11" s="3" t="s">
        <v>113</v>
      </c>
    </row>
    <row r="12" spans="1:18" x14ac:dyDescent="0.25">
      <c r="A12" s="2">
        <f t="shared" si="3"/>
        <v>44926</v>
      </c>
      <c r="B12" s="3">
        <f t="shared" si="1"/>
        <v>15458.050000000003</v>
      </c>
      <c r="C12" s="9"/>
      <c r="D12" s="9">
        <v>0</v>
      </c>
      <c r="E12" s="9"/>
      <c r="F12" s="9"/>
      <c r="G12" s="9"/>
      <c r="H12" s="9"/>
      <c r="I12" s="9"/>
      <c r="J12" s="9"/>
      <c r="K12" s="9">
        <f t="shared" si="2"/>
        <v>15458.050000000003</v>
      </c>
      <c r="M12" s="9">
        <f>+M11+760131.17</f>
        <v>245837.31</v>
      </c>
      <c r="N12" s="9">
        <f t="shared" si="0"/>
        <v>-230379.26</v>
      </c>
      <c r="P12" t="s">
        <v>103</v>
      </c>
      <c r="Q12" s="3">
        <v>333.6699999999837</v>
      </c>
      <c r="R12" s="3" t="s">
        <v>112</v>
      </c>
    </row>
    <row r="13" spans="1:18" x14ac:dyDescent="0.25">
      <c r="A13" s="2">
        <f t="shared" si="3"/>
        <v>44957</v>
      </c>
      <c r="B13" s="3">
        <f t="shared" si="1"/>
        <v>15458.050000000003</v>
      </c>
      <c r="C13" s="9">
        <v>180507.8</v>
      </c>
      <c r="D13" s="9">
        <v>-229700.34</v>
      </c>
      <c r="E13" s="9"/>
      <c r="F13" s="9"/>
      <c r="G13" s="9"/>
      <c r="H13" s="9"/>
      <c r="I13" s="9"/>
      <c r="J13" s="9"/>
      <c r="K13" s="9">
        <f t="shared" si="2"/>
        <v>-33734.49000000002</v>
      </c>
      <c r="M13" s="9">
        <f>+M12-340632.21</f>
        <v>-94794.900000000023</v>
      </c>
      <c r="N13" s="9">
        <f t="shared" si="0"/>
        <v>61060.41</v>
      </c>
      <c r="P13" t="s">
        <v>104</v>
      </c>
      <c r="Q13" s="3">
        <v>122154.10999999987</v>
      </c>
      <c r="R13" s="3" t="s">
        <v>112</v>
      </c>
    </row>
    <row r="14" spans="1:18" x14ac:dyDescent="0.25">
      <c r="A14" s="2">
        <f>+A13+28</f>
        <v>44985</v>
      </c>
      <c r="B14" s="3">
        <f t="shared" si="1"/>
        <v>-33734.49000000002</v>
      </c>
      <c r="C14" s="49">
        <v>506.64</v>
      </c>
      <c r="D14" s="9">
        <v>-597.82000000000005</v>
      </c>
      <c r="E14" s="9"/>
      <c r="F14" s="9"/>
      <c r="G14" s="49">
        <v>-2486.7600000000002</v>
      </c>
      <c r="H14" s="9"/>
      <c r="I14" s="9"/>
      <c r="J14" s="9"/>
      <c r="K14" s="9">
        <f t="shared" si="2"/>
        <v>-36312.430000000022</v>
      </c>
      <c r="M14" s="9">
        <f>+M13-119964.11</f>
        <v>-214759.01</v>
      </c>
      <c r="N14" s="9">
        <f t="shared" si="0"/>
        <v>178446.58</v>
      </c>
      <c r="P14" t="s">
        <v>105</v>
      </c>
      <c r="Q14" s="3">
        <v>15214.969999998808</v>
      </c>
      <c r="R14" s="3" t="s">
        <v>112</v>
      </c>
    </row>
    <row r="15" spans="1:18" x14ac:dyDescent="0.25">
      <c r="A15" s="2">
        <f t="shared" si="3"/>
        <v>45016</v>
      </c>
      <c r="B15" s="3">
        <f t="shared" si="1"/>
        <v>-36312.430000000022</v>
      </c>
      <c r="C15" s="9"/>
      <c r="D15" s="9">
        <v>-28.18</v>
      </c>
      <c r="E15" s="9"/>
      <c r="F15" s="9"/>
      <c r="G15" s="9"/>
      <c r="H15" s="9"/>
      <c r="I15" s="9"/>
      <c r="J15" s="9"/>
      <c r="K15" s="9">
        <f t="shared" si="2"/>
        <v>-36340.610000000022</v>
      </c>
      <c r="M15" s="9">
        <f>+M14-56.36</f>
        <v>-214815.37</v>
      </c>
      <c r="N15" s="9">
        <f t="shared" si="0"/>
        <v>178474.75999999998</v>
      </c>
      <c r="P15" t="s">
        <v>106</v>
      </c>
      <c r="Q15" s="3">
        <v>229700.33999999939</v>
      </c>
      <c r="R15" s="3" t="s">
        <v>112</v>
      </c>
    </row>
    <row r="16" spans="1:18" x14ac:dyDescent="0.25">
      <c r="A16" s="2">
        <f>+A15+30</f>
        <v>45046</v>
      </c>
      <c r="B16" s="3">
        <f t="shared" si="1"/>
        <v>-36340.610000000022</v>
      </c>
      <c r="C16" s="9">
        <v>179593.86</v>
      </c>
      <c r="D16" s="9">
        <v>-32388.94</v>
      </c>
      <c r="E16" s="9"/>
      <c r="F16" s="9"/>
      <c r="G16" s="9"/>
      <c r="H16" s="9"/>
      <c r="I16" s="9"/>
      <c r="J16" s="9"/>
      <c r="K16" s="9">
        <f t="shared" si="2"/>
        <v>110864.30999999997</v>
      </c>
      <c r="M16" s="9">
        <f>+M15-64777.88</f>
        <v>-279593.25</v>
      </c>
      <c r="N16" s="9">
        <f t="shared" si="0"/>
        <v>390457.55999999994</v>
      </c>
      <c r="P16" t="s">
        <v>107</v>
      </c>
      <c r="Q16" s="3">
        <v>597.8199999993667</v>
      </c>
      <c r="R16" s="3" t="s">
        <v>112</v>
      </c>
    </row>
    <row r="17" spans="1:18" x14ac:dyDescent="0.25">
      <c r="A17" s="2">
        <f t="shared" si="3"/>
        <v>45077</v>
      </c>
      <c r="B17" s="3">
        <f t="shared" si="1"/>
        <v>110864.30999999997</v>
      </c>
      <c r="C17" s="9"/>
      <c r="D17" s="9">
        <v>-110321.07</v>
      </c>
      <c r="E17" s="9"/>
      <c r="F17" s="9">
        <v>1211.56</v>
      </c>
      <c r="G17" s="9"/>
      <c r="H17" s="9"/>
      <c r="I17" s="49">
        <v>5.41</v>
      </c>
      <c r="J17" s="9"/>
      <c r="K17" s="9">
        <f>SUM(B17:J17)</f>
        <v>1760.2099999999616</v>
      </c>
      <c r="M17" s="9">
        <f>+M16-220476.25</f>
        <v>-500069.5</v>
      </c>
      <c r="N17" s="9">
        <f t="shared" si="0"/>
        <v>501829.70999999996</v>
      </c>
      <c r="P17" t="s">
        <v>108</v>
      </c>
      <c r="Q17" s="3">
        <v>28.180000000000291</v>
      </c>
      <c r="R17" s="3" t="s">
        <v>112</v>
      </c>
    </row>
    <row r="18" spans="1:18" x14ac:dyDescent="0.25">
      <c r="A18" s="2">
        <f>+A17+30</f>
        <v>45107</v>
      </c>
      <c r="B18" s="3">
        <f t="shared" si="1"/>
        <v>1760.2099999999616</v>
      </c>
      <c r="C18" s="9"/>
      <c r="D18" s="25">
        <v>-715.86</v>
      </c>
      <c r="E18" s="25"/>
      <c r="F18" s="25"/>
      <c r="G18" s="25">
        <f>-2247.33+2486.76</f>
        <v>239.43000000000029</v>
      </c>
      <c r="H18" s="25"/>
      <c r="I18" s="25"/>
      <c r="J18" s="9"/>
      <c r="K18" s="9">
        <f t="shared" si="2"/>
        <v>1283.779999999962</v>
      </c>
      <c r="M18" s="9">
        <f>+M17-1597.61</f>
        <v>-501667.11</v>
      </c>
      <c r="N18" s="16">
        <f t="shared" si="0"/>
        <v>502950.88999999996</v>
      </c>
      <c r="P18" t="s">
        <v>109</v>
      </c>
      <c r="Q18" s="3">
        <v>32388.939999999478</v>
      </c>
      <c r="R18" s="3" t="s">
        <v>112</v>
      </c>
    </row>
    <row r="19" spans="1:18" x14ac:dyDescent="0.25">
      <c r="B19" s="3"/>
      <c r="C19" s="9"/>
      <c r="D19" s="9"/>
      <c r="E19" s="9"/>
      <c r="F19" s="9"/>
      <c r="G19" s="9"/>
      <c r="H19" s="9"/>
      <c r="I19" s="9"/>
      <c r="J19" s="9"/>
      <c r="K19" s="9"/>
      <c r="P19" t="s">
        <v>110</v>
      </c>
      <c r="Q19" s="3">
        <v>111532.62999999966</v>
      </c>
      <c r="R19" s="3" t="s">
        <v>112</v>
      </c>
    </row>
    <row r="20" spans="1:18" ht="15.75" thickBot="1" x14ac:dyDescent="0.3">
      <c r="A20" t="s">
        <v>16</v>
      </c>
      <c r="B20" s="3"/>
      <c r="C20" s="18">
        <f>SUM(C7:C18)</f>
        <v>760881.15999999992</v>
      </c>
      <c r="D20" s="18">
        <f t="shared" ref="D20:J20" si="4">SUM(D7:D18)</f>
        <v>-758567.0199999999</v>
      </c>
      <c r="E20" s="18">
        <f t="shared" si="4"/>
        <v>0</v>
      </c>
      <c r="F20" s="18">
        <f t="shared" si="4"/>
        <v>1211.56</v>
      </c>
      <c r="G20" s="18">
        <f t="shared" si="4"/>
        <v>-2247.33</v>
      </c>
      <c r="H20" s="18">
        <f t="shared" si="4"/>
        <v>0</v>
      </c>
      <c r="I20" s="18">
        <f t="shared" si="4"/>
        <v>5.41</v>
      </c>
      <c r="J20" s="18">
        <f t="shared" si="4"/>
        <v>0</v>
      </c>
      <c r="K20" s="18">
        <f>SUM(B20:J20)</f>
        <v>1283.7800000000141</v>
      </c>
      <c r="N20" s="5"/>
      <c r="P20" t="s">
        <v>111</v>
      </c>
      <c r="Q20" s="3">
        <v>955.2899999999936</v>
      </c>
      <c r="R20" s="3" t="s">
        <v>112</v>
      </c>
    </row>
    <row r="21" spans="1:18" ht="15.75" thickTop="1" x14ac:dyDescent="0.25">
      <c r="B21" s="9"/>
      <c r="C21" s="20"/>
      <c r="D21" s="20"/>
      <c r="E21" s="20"/>
      <c r="F21" s="20"/>
      <c r="G21" s="20"/>
      <c r="H21" s="20"/>
      <c r="I21" s="20"/>
      <c r="J21" s="20"/>
      <c r="K21" s="20"/>
      <c r="N21" s="5"/>
      <c r="Q21" s="3"/>
      <c r="R21" s="3"/>
    </row>
    <row r="22" spans="1:18" ht="15.75" thickBot="1" x14ac:dyDescent="0.3">
      <c r="C22" s="5"/>
      <c r="Q22" s="8">
        <f>SUM(Q8:Q21)</f>
        <v>502950.88999999594</v>
      </c>
      <c r="R22" s="3"/>
    </row>
    <row r="23" spans="1:18" ht="19.5" thickTop="1" x14ac:dyDescent="0.25">
      <c r="A23" s="23">
        <v>2022</v>
      </c>
    </row>
    <row r="24" spans="1:18" x14ac:dyDescent="0.25">
      <c r="A24" s="33" t="s">
        <v>44</v>
      </c>
      <c r="M24" s="32" t="s">
        <v>46</v>
      </c>
    </row>
    <row r="25" spans="1:18" x14ac:dyDescent="0.25">
      <c r="C25" s="10" t="s">
        <v>19</v>
      </c>
      <c r="D25" s="10" t="s">
        <v>20</v>
      </c>
      <c r="E25" s="10" t="s">
        <v>19</v>
      </c>
      <c r="F25" s="10" t="s">
        <v>19</v>
      </c>
      <c r="G25" s="10" t="s">
        <v>20</v>
      </c>
      <c r="H25" s="10" t="s">
        <v>20</v>
      </c>
      <c r="I25" s="10" t="s">
        <v>21</v>
      </c>
      <c r="J25" s="10" t="s">
        <v>20</v>
      </c>
      <c r="K25" s="7" t="s">
        <v>10</v>
      </c>
      <c r="L25" s="7"/>
      <c r="M25" s="7" t="s">
        <v>9</v>
      </c>
    </row>
    <row r="26" spans="1:18" x14ac:dyDescent="0.25">
      <c r="B26" s="4" t="s">
        <v>1</v>
      </c>
      <c r="C26" s="6" t="s">
        <v>2</v>
      </c>
      <c r="D26" s="6" t="s">
        <v>3</v>
      </c>
      <c r="E26" s="6" t="s">
        <v>12</v>
      </c>
      <c r="F26" s="6" t="s">
        <v>4</v>
      </c>
      <c r="G26" s="6" t="s">
        <v>5</v>
      </c>
      <c r="H26" s="6" t="s">
        <v>13</v>
      </c>
      <c r="I26" s="6" t="s">
        <v>6</v>
      </c>
      <c r="J26" s="6" t="s">
        <v>7</v>
      </c>
      <c r="K26" s="6" t="s">
        <v>8</v>
      </c>
      <c r="L26" s="7"/>
      <c r="M26" s="6" t="s">
        <v>8</v>
      </c>
      <c r="N26" s="6" t="s">
        <v>14</v>
      </c>
    </row>
    <row r="27" spans="1:18" x14ac:dyDescent="0.25">
      <c r="A27" s="2">
        <v>44408</v>
      </c>
      <c r="B27" s="3">
        <v>2303</v>
      </c>
      <c r="C27" s="9"/>
      <c r="D27" s="9">
        <v>32.18</v>
      </c>
      <c r="E27" s="9"/>
      <c r="F27" s="9"/>
      <c r="G27" s="9"/>
      <c r="H27" s="9"/>
      <c r="I27" s="9"/>
      <c r="J27" s="9"/>
      <c r="K27" s="9">
        <f>SUM(B27:J27)</f>
        <v>2335.1799999999998</v>
      </c>
      <c r="M27" s="9">
        <f>2486.22+32.18</f>
        <v>2518.3999999999996</v>
      </c>
      <c r="N27" s="9">
        <f t="shared" ref="N27:N38" si="5">+K27-M27</f>
        <v>-183.2199999999998</v>
      </c>
      <c r="P27" s="17" t="s">
        <v>121</v>
      </c>
      <c r="Q27" s="3">
        <v>-16.600000000000001</v>
      </c>
      <c r="R27" s="45" t="s">
        <v>53</v>
      </c>
    </row>
    <row r="28" spans="1:18" x14ac:dyDescent="0.25">
      <c r="A28" s="2">
        <f>+A27+31</f>
        <v>44439</v>
      </c>
      <c r="B28" s="3">
        <f>+K27</f>
        <v>2335.1799999999998</v>
      </c>
      <c r="C28" s="9"/>
      <c r="D28" s="9">
        <v>-62.04</v>
      </c>
      <c r="E28" s="9"/>
      <c r="F28" s="9"/>
      <c r="G28" s="9"/>
      <c r="H28" s="9"/>
      <c r="I28" s="9"/>
      <c r="J28" s="9"/>
      <c r="K28" s="9">
        <f>SUM(B28:J28)</f>
        <v>2273.14</v>
      </c>
      <c r="M28" s="9">
        <f>+M27-62.04</f>
        <v>2456.3599999999997</v>
      </c>
      <c r="N28" s="9">
        <f t="shared" si="5"/>
        <v>-183.2199999999998</v>
      </c>
      <c r="P28" s="17" t="s">
        <v>122</v>
      </c>
      <c r="Q28" s="3">
        <v>-166.62</v>
      </c>
      <c r="R28" s="45" t="s">
        <v>53</v>
      </c>
    </row>
    <row r="29" spans="1:18" x14ac:dyDescent="0.25">
      <c r="A29" s="2">
        <f>+A28+30</f>
        <v>44469</v>
      </c>
      <c r="B29" s="3">
        <f t="shared" ref="B29:B38" si="6">+K28</f>
        <v>2273.14</v>
      </c>
      <c r="C29" s="9"/>
      <c r="D29" s="9">
        <v>-77.180000000000007</v>
      </c>
      <c r="E29" s="9"/>
      <c r="F29" s="9"/>
      <c r="G29" s="9"/>
      <c r="H29" s="9"/>
      <c r="I29" s="9"/>
      <c r="J29" s="9"/>
      <c r="K29" s="9">
        <f t="shared" ref="K29:K38" si="7">SUM(B29:J29)</f>
        <v>2195.96</v>
      </c>
      <c r="M29" s="9">
        <f>+M28-77.18</f>
        <v>2379.1799999999998</v>
      </c>
      <c r="N29" s="9">
        <f t="shared" si="5"/>
        <v>-183.2199999999998</v>
      </c>
      <c r="P29" t="s">
        <v>114</v>
      </c>
      <c r="Q29" s="3">
        <v>150</v>
      </c>
      <c r="R29" s="45" t="s">
        <v>115</v>
      </c>
    </row>
    <row r="30" spans="1:18" x14ac:dyDescent="0.25">
      <c r="A30" s="2">
        <f t="shared" ref="A30:A37" si="8">+A29+31</f>
        <v>44500</v>
      </c>
      <c r="B30" s="3">
        <f t="shared" si="6"/>
        <v>2195.96</v>
      </c>
      <c r="C30" s="9"/>
      <c r="D30" s="9">
        <v>-34.880000000000003</v>
      </c>
      <c r="E30" s="9"/>
      <c r="F30" s="9"/>
      <c r="G30" s="9"/>
      <c r="H30" s="9"/>
      <c r="I30" s="9"/>
      <c r="J30" s="9"/>
      <c r="K30" s="9">
        <f t="shared" si="7"/>
        <v>2161.08</v>
      </c>
      <c r="M30" s="9">
        <f>+M29-34.88</f>
        <v>2344.2999999999997</v>
      </c>
      <c r="N30" s="9">
        <f t="shared" si="5"/>
        <v>-183.2199999999998</v>
      </c>
      <c r="P30" t="s">
        <v>116</v>
      </c>
      <c r="Q30" s="3">
        <v>163</v>
      </c>
      <c r="R30" s="45" t="s">
        <v>115</v>
      </c>
    </row>
    <row r="31" spans="1:18" x14ac:dyDescent="0.25">
      <c r="A31" s="2">
        <f>+A30+30</f>
        <v>44530</v>
      </c>
      <c r="B31" s="3">
        <f t="shared" si="6"/>
        <v>2161.08</v>
      </c>
      <c r="C31" s="9"/>
      <c r="D31" s="9">
        <v>0</v>
      </c>
      <c r="E31" s="9"/>
      <c r="F31" s="9"/>
      <c r="G31" s="9"/>
      <c r="H31" s="9"/>
      <c r="I31" s="9"/>
      <c r="J31" s="9"/>
      <c r="K31" s="9">
        <f t="shared" si="7"/>
        <v>2161.08</v>
      </c>
      <c r="M31" s="9">
        <f>+M30</f>
        <v>2344.2999999999997</v>
      </c>
      <c r="N31" s="9">
        <f t="shared" si="5"/>
        <v>-183.2199999999998</v>
      </c>
      <c r="P31" t="s">
        <v>117</v>
      </c>
      <c r="Q31" s="3">
        <v>103.83</v>
      </c>
      <c r="R31" s="45" t="s">
        <v>115</v>
      </c>
    </row>
    <row r="32" spans="1:18" x14ac:dyDescent="0.25">
      <c r="A32" s="2">
        <f t="shared" si="8"/>
        <v>44561</v>
      </c>
      <c r="B32" s="3">
        <f t="shared" si="6"/>
        <v>2161.08</v>
      </c>
      <c r="C32" s="9"/>
      <c r="D32" s="9">
        <v>-360.86</v>
      </c>
      <c r="E32" s="9"/>
      <c r="F32" s="9"/>
      <c r="G32" s="9"/>
      <c r="H32" s="9"/>
      <c r="I32" s="9"/>
      <c r="J32" s="9"/>
      <c r="K32" s="9">
        <f t="shared" si="7"/>
        <v>1800.2199999999998</v>
      </c>
      <c r="M32" s="9">
        <f>+M31-510.86</f>
        <v>1833.4399999999996</v>
      </c>
      <c r="N32" s="9">
        <f t="shared" si="5"/>
        <v>-33.2199999999998</v>
      </c>
      <c r="P32" t="s">
        <v>118</v>
      </c>
      <c r="Q32" s="3">
        <v>25</v>
      </c>
      <c r="R32" s="45" t="s">
        <v>115</v>
      </c>
    </row>
    <row r="33" spans="1:18" x14ac:dyDescent="0.25">
      <c r="A33" s="2">
        <f t="shared" si="8"/>
        <v>44592</v>
      </c>
      <c r="B33" s="3">
        <f t="shared" si="6"/>
        <v>1800.2199999999998</v>
      </c>
      <c r="C33" s="9"/>
      <c r="D33" s="9">
        <v>0</v>
      </c>
      <c r="E33" s="9"/>
      <c r="F33" s="9"/>
      <c r="G33" s="9"/>
      <c r="H33" s="9"/>
      <c r="I33" s="9"/>
      <c r="J33" s="9"/>
      <c r="K33" s="9">
        <f t="shared" si="7"/>
        <v>1800.2199999999998</v>
      </c>
      <c r="M33" s="9">
        <f>+M32-163</f>
        <v>1670.4399999999996</v>
      </c>
      <c r="N33" s="9">
        <f t="shared" si="5"/>
        <v>129.7800000000002</v>
      </c>
      <c r="P33" t="s">
        <v>119</v>
      </c>
      <c r="Q33" s="3">
        <v>103.05</v>
      </c>
      <c r="R33" s="45" t="s">
        <v>115</v>
      </c>
    </row>
    <row r="34" spans="1:18" x14ac:dyDescent="0.25">
      <c r="A34" s="2">
        <f>+A33+28</f>
        <v>44620</v>
      </c>
      <c r="B34" s="3">
        <f t="shared" si="6"/>
        <v>1800.2199999999998</v>
      </c>
      <c r="C34" s="9"/>
      <c r="D34" s="9">
        <v>0</v>
      </c>
      <c r="E34" s="9"/>
      <c r="F34" s="9"/>
      <c r="G34" s="9"/>
      <c r="H34" s="9"/>
      <c r="I34" s="9"/>
      <c r="J34" s="9"/>
      <c r="K34" s="9">
        <f t="shared" si="7"/>
        <v>1800.2199999999998</v>
      </c>
      <c r="M34" s="9">
        <f>+M33-103.83</f>
        <v>1566.6099999999997</v>
      </c>
      <c r="N34" s="9">
        <f t="shared" si="5"/>
        <v>233.61000000000013</v>
      </c>
      <c r="P34" t="s">
        <v>120</v>
      </c>
      <c r="Q34" s="3">
        <v>2.66</v>
      </c>
    </row>
    <row r="35" spans="1:18" x14ac:dyDescent="0.25">
      <c r="A35" s="2">
        <f t="shared" si="8"/>
        <v>44651</v>
      </c>
      <c r="B35" s="3">
        <f t="shared" si="6"/>
        <v>1800.2199999999998</v>
      </c>
      <c r="C35" s="9"/>
      <c r="D35" s="9">
        <v>0</v>
      </c>
      <c r="E35" s="9"/>
      <c r="F35" s="9"/>
      <c r="G35" s="9"/>
      <c r="H35" s="9"/>
      <c r="I35" s="9"/>
      <c r="J35" s="9"/>
      <c r="K35" s="9">
        <f t="shared" si="7"/>
        <v>1800.2199999999998</v>
      </c>
      <c r="M35" s="9">
        <f>+M34-0</f>
        <v>1566.6099999999997</v>
      </c>
      <c r="N35" s="9">
        <f t="shared" si="5"/>
        <v>233.61000000000013</v>
      </c>
    </row>
    <row r="36" spans="1:18" ht="15.75" thickBot="1" x14ac:dyDescent="0.3">
      <c r="A36" s="2">
        <f>+A35+30</f>
        <v>44681</v>
      </c>
      <c r="B36" s="3">
        <f t="shared" si="6"/>
        <v>1800.2199999999998</v>
      </c>
      <c r="C36" s="9"/>
      <c r="D36" s="9">
        <v>0</v>
      </c>
      <c r="E36" s="9"/>
      <c r="F36" s="9"/>
      <c r="G36" s="9"/>
      <c r="H36" s="9"/>
      <c r="I36" s="9"/>
      <c r="J36" s="9"/>
      <c r="K36" s="9">
        <f t="shared" si="7"/>
        <v>1800.2199999999998</v>
      </c>
      <c r="M36" s="9">
        <f>+M35-25</f>
        <v>1541.6099999999997</v>
      </c>
      <c r="N36" s="9">
        <f t="shared" si="5"/>
        <v>258.61000000000013</v>
      </c>
      <c r="P36" t="s">
        <v>54</v>
      </c>
      <c r="Q36" s="8">
        <f>SUM(Q27:Q35)</f>
        <v>364.32000000000005</v>
      </c>
    </row>
    <row r="37" spans="1:18" ht="15.75" thickTop="1" x14ac:dyDescent="0.25">
      <c r="A37" s="2">
        <f t="shared" si="8"/>
        <v>44712</v>
      </c>
      <c r="B37" s="3">
        <f t="shared" si="6"/>
        <v>1800.2199999999998</v>
      </c>
      <c r="C37" s="9"/>
      <c r="D37" s="9">
        <v>0</v>
      </c>
      <c r="E37" s="9"/>
      <c r="F37" s="9"/>
      <c r="G37" s="9"/>
      <c r="H37" s="9"/>
      <c r="I37" s="49">
        <v>2.66</v>
      </c>
      <c r="J37" s="9"/>
      <c r="K37" s="9">
        <f t="shared" si="7"/>
        <v>1802.8799999999999</v>
      </c>
      <c r="M37" s="9">
        <f>+M36-103.05</f>
        <v>1438.5599999999997</v>
      </c>
      <c r="N37" s="9">
        <f t="shared" si="5"/>
        <v>364.32000000000016</v>
      </c>
    </row>
    <row r="38" spans="1:18" x14ac:dyDescent="0.25">
      <c r="A38" s="2">
        <f>+A37+30</f>
        <v>44742</v>
      </c>
      <c r="B38" s="3">
        <f t="shared" si="6"/>
        <v>1802.8799999999999</v>
      </c>
      <c r="C38" s="9"/>
      <c r="D38" s="25">
        <v>0</v>
      </c>
      <c r="E38" s="25"/>
      <c r="F38" s="25"/>
      <c r="G38" s="25"/>
      <c r="H38" s="25"/>
      <c r="I38" s="25"/>
      <c r="J38" s="9"/>
      <c r="K38" s="9">
        <f t="shared" si="7"/>
        <v>1802.8799999999999</v>
      </c>
      <c r="M38" s="9">
        <f>+M37</f>
        <v>1438.5599999999997</v>
      </c>
      <c r="N38" s="16">
        <f t="shared" si="5"/>
        <v>364.32000000000016</v>
      </c>
      <c r="Q38" s="5">
        <f>+N38-Q36</f>
        <v>0</v>
      </c>
    </row>
    <row r="39" spans="1:18" x14ac:dyDescent="0.25">
      <c r="B39" s="3"/>
      <c r="C39" s="9"/>
      <c r="D39" s="9"/>
      <c r="E39" s="9"/>
      <c r="F39" s="9"/>
      <c r="G39" s="9"/>
      <c r="H39" s="9"/>
      <c r="I39" s="9"/>
      <c r="J39" s="9"/>
      <c r="K39" s="9"/>
    </row>
    <row r="40" spans="1:18" ht="15.75" thickBot="1" x14ac:dyDescent="0.3">
      <c r="A40" t="s">
        <v>16</v>
      </c>
      <c r="B40" s="3"/>
      <c r="C40" s="18">
        <f>SUM(C27:C38)</f>
        <v>0</v>
      </c>
      <c r="D40" s="18">
        <f t="shared" ref="D40:J40" si="9">SUM(D27:D38)</f>
        <v>-502.78000000000003</v>
      </c>
      <c r="E40" s="18">
        <f t="shared" si="9"/>
        <v>0</v>
      </c>
      <c r="F40" s="18">
        <f t="shared" si="9"/>
        <v>0</v>
      </c>
      <c r="G40" s="18">
        <f t="shared" si="9"/>
        <v>0</v>
      </c>
      <c r="H40" s="18">
        <f t="shared" si="9"/>
        <v>0</v>
      </c>
      <c r="I40" s="18">
        <f t="shared" si="9"/>
        <v>2.66</v>
      </c>
      <c r="J40" s="18">
        <f t="shared" si="9"/>
        <v>0</v>
      </c>
      <c r="K40" s="18">
        <f>+K38</f>
        <v>1802.8799999999999</v>
      </c>
      <c r="N40" s="5"/>
    </row>
    <row r="41" spans="1:18" ht="15.75" thickTop="1" x14ac:dyDescent="0.25">
      <c r="B41" s="9"/>
      <c r="C41" s="20"/>
      <c r="D41" s="20"/>
      <c r="E41" s="20"/>
      <c r="F41" s="20"/>
      <c r="G41" s="20"/>
      <c r="H41" s="20"/>
      <c r="I41" s="20"/>
      <c r="J41" s="20"/>
      <c r="K41" s="20"/>
      <c r="N41" s="5"/>
    </row>
    <row r="42" spans="1:18" ht="18.75" x14ac:dyDescent="0.25">
      <c r="A42" s="23">
        <v>2021</v>
      </c>
    </row>
    <row r="43" spans="1:18" x14ac:dyDescent="0.25">
      <c r="A43" s="33" t="s">
        <v>40</v>
      </c>
      <c r="M43" s="32" t="s">
        <v>41</v>
      </c>
    </row>
    <row r="44" spans="1:18" x14ac:dyDescent="0.25">
      <c r="C44" s="10" t="s">
        <v>19</v>
      </c>
      <c r="D44" s="10" t="s">
        <v>20</v>
      </c>
      <c r="E44" s="10" t="s">
        <v>19</v>
      </c>
      <c r="F44" s="10" t="s">
        <v>19</v>
      </c>
      <c r="G44" s="10" t="s">
        <v>20</v>
      </c>
      <c r="H44" s="10" t="s">
        <v>20</v>
      </c>
      <c r="I44" s="10" t="s">
        <v>21</v>
      </c>
      <c r="J44" s="10" t="s">
        <v>20</v>
      </c>
      <c r="K44" s="7" t="s">
        <v>10</v>
      </c>
      <c r="L44" s="7"/>
      <c r="M44" s="7" t="s">
        <v>9</v>
      </c>
    </row>
    <row r="45" spans="1:18" x14ac:dyDescent="0.25">
      <c r="B45" s="4" t="s">
        <v>1</v>
      </c>
      <c r="C45" s="6" t="s">
        <v>2</v>
      </c>
      <c r="D45" s="6" t="s">
        <v>3</v>
      </c>
      <c r="E45" s="6" t="s">
        <v>12</v>
      </c>
      <c r="F45" s="6" t="s">
        <v>4</v>
      </c>
      <c r="G45" s="6" t="s">
        <v>5</v>
      </c>
      <c r="H45" s="6" t="s">
        <v>13</v>
      </c>
      <c r="I45" s="6" t="s">
        <v>6</v>
      </c>
      <c r="J45" s="6" t="s">
        <v>7</v>
      </c>
      <c r="K45" s="6" t="s">
        <v>8</v>
      </c>
      <c r="L45" s="7"/>
      <c r="M45" s="6" t="s">
        <v>8</v>
      </c>
      <c r="N45" s="6" t="s">
        <v>14</v>
      </c>
    </row>
    <row r="46" spans="1:18" x14ac:dyDescent="0.25">
      <c r="A46" s="2">
        <v>44043</v>
      </c>
      <c r="B46" s="3">
        <v>8382.5399999999991</v>
      </c>
      <c r="C46" s="9"/>
      <c r="D46" s="9">
        <v>0</v>
      </c>
      <c r="E46" s="9"/>
      <c r="F46" s="9"/>
      <c r="G46" s="9"/>
      <c r="H46" s="9"/>
      <c r="I46" s="9"/>
      <c r="J46" s="9"/>
      <c r="K46" s="9">
        <f>SUM(B46:J46)</f>
        <v>8382.5399999999991</v>
      </c>
      <c r="M46" s="9">
        <v>8382.5400000000009</v>
      </c>
      <c r="N46" s="9">
        <f t="shared" ref="N46:N57" si="10">+K46-M46</f>
        <v>0</v>
      </c>
    </row>
    <row r="47" spans="1:18" x14ac:dyDescent="0.25">
      <c r="A47" s="2">
        <f>+A46+31</f>
        <v>44074</v>
      </c>
      <c r="B47" s="3">
        <f>+K46</f>
        <v>8382.5399999999991</v>
      </c>
      <c r="C47" s="9"/>
      <c r="D47" s="9">
        <v>-128.77000000000001</v>
      </c>
      <c r="E47" s="9"/>
      <c r="F47" s="9"/>
      <c r="G47" s="9"/>
      <c r="H47" s="9"/>
      <c r="I47" s="9"/>
      <c r="J47" s="9"/>
      <c r="K47" s="9">
        <f>SUM(B47:J47)</f>
        <v>8253.7699999999986</v>
      </c>
      <c r="M47" s="9">
        <f>+M46-128.77</f>
        <v>8253.77</v>
      </c>
      <c r="N47" s="9">
        <f t="shared" si="10"/>
        <v>0</v>
      </c>
    </row>
    <row r="48" spans="1:18" x14ac:dyDescent="0.25">
      <c r="A48" s="2">
        <f>+A47+30</f>
        <v>44104</v>
      </c>
      <c r="B48" s="3">
        <f t="shared" ref="B48:B57" si="11">+K47</f>
        <v>8253.7699999999986</v>
      </c>
      <c r="C48" s="9"/>
      <c r="D48" s="9">
        <v>-77.34</v>
      </c>
      <c r="E48" s="9"/>
      <c r="F48" s="9"/>
      <c r="G48" s="9"/>
      <c r="H48" s="9"/>
      <c r="I48" s="9"/>
      <c r="J48" s="9"/>
      <c r="K48" s="9">
        <f t="shared" ref="K48:K57" si="12">SUM(B48:J48)</f>
        <v>8176.4299999999985</v>
      </c>
      <c r="M48" s="9">
        <f>+M47-77.34</f>
        <v>8176.43</v>
      </c>
      <c r="N48" s="9">
        <f t="shared" si="10"/>
        <v>0</v>
      </c>
    </row>
    <row r="49" spans="1:14" x14ac:dyDescent="0.25">
      <c r="A49" s="2">
        <f t="shared" ref="A49:A56" si="13">+A48+31</f>
        <v>44135</v>
      </c>
      <c r="B49" s="3">
        <f t="shared" si="11"/>
        <v>8176.4299999999985</v>
      </c>
      <c r="C49" s="9"/>
      <c r="D49" s="9"/>
      <c r="E49" s="9"/>
      <c r="F49" s="9"/>
      <c r="G49" s="9"/>
      <c r="H49" s="9"/>
      <c r="I49" s="9"/>
      <c r="J49" s="9"/>
      <c r="K49" s="9">
        <f t="shared" si="12"/>
        <v>8176.4299999999985</v>
      </c>
      <c r="M49" s="9">
        <f>+M48</f>
        <v>8176.43</v>
      </c>
      <c r="N49" s="9">
        <f t="shared" si="10"/>
        <v>0</v>
      </c>
    </row>
    <row r="50" spans="1:14" x14ac:dyDescent="0.25">
      <c r="A50" s="2">
        <f>+A49+30</f>
        <v>44165</v>
      </c>
      <c r="B50" s="3">
        <f t="shared" si="11"/>
        <v>8176.4299999999985</v>
      </c>
      <c r="C50" s="9"/>
      <c r="D50" s="9"/>
      <c r="E50" s="9"/>
      <c r="F50" s="9"/>
      <c r="G50" s="9"/>
      <c r="H50" s="9"/>
      <c r="I50" s="9"/>
      <c r="J50" s="9"/>
      <c r="K50" s="9">
        <f t="shared" si="12"/>
        <v>8176.4299999999985</v>
      </c>
      <c r="M50" s="9">
        <f t="shared" ref="M50:M57" si="14">+M49</f>
        <v>8176.43</v>
      </c>
      <c r="N50" s="9">
        <f t="shared" si="10"/>
        <v>0</v>
      </c>
    </row>
    <row r="51" spans="1:14" x14ac:dyDescent="0.25">
      <c r="A51" s="2">
        <f t="shared" si="13"/>
        <v>44196</v>
      </c>
      <c r="B51" s="3">
        <f t="shared" si="11"/>
        <v>8176.4299999999985</v>
      </c>
      <c r="C51" s="9"/>
      <c r="D51" s="9"/>
      <c r="E51" s="9"/>
      <c r="F51" s="9"/>
      <c r="G51" s="9"/>
      <c r="H51" s="9"/>
      <c r="I51" s="9"/>
      <c r="J51" s="9"/>
      <c r="K51" s="9">
        <f t="shared" si="12"/>
        <v>8176.4299999999985</v>
      </c>
      <c r="M51" s="9">
        <f t="shared" si="14"/>
        <v>8176.43</v>
      </c>
      <c r="N51" s="9">
        <f t="shared" si="10"/>
        <v>0</v>
      </c>
    </row>
    <row r="52" spans="1:14" x14ac:dyDescent="0.25">
      <c r="A52" s="2">
        <f t="shared" si="13"/>
        <v>44227</v>
      </c>
      <c r="B52" s="3">
        <f t="shared" si="11"/>
        <v>8176.4299999999985</v>
      </c>
      <c r="C52" s="9"/>
      <c r="D52" s="9"/>
      <c r="E52" s="9"/>
      <c r="F52" s="9"/>
      <c r="G52" s="9"/>
      <c r="H52" s="9"/>
      <c r="I52" s="9"/>
      <c r="J52" s="9"/>
      <c r="K52" s="9">
        <f t="shared" si="12"/>
        <v>8176.4299999999985</v>
      </c>
      <c r="M52" s="9">
        <f t="shared" si="14"/>
        <v>8176.43</v>
      </c>
      <c r="N52" s="9">
        <f t="shared" si="10"/>
        <v>0</v>
      </c>
    </row>
    <row r="53" spans="1:14" x14ac:dyDescent="0.25">
      <c r="A53" s="2">
        <f>+A52+28</f>
        <v>44255</v>
      </c>
      <c r="B53" s="3">
        <f t="shared" si="11"/>
        <v>8176.4299999999985</v>
      </c>
      <c r="C53" s="9"/>
      <c r="D53" s="9"/>
      <c r="E53" s="9"/>
      <c r="F53" s="9"/>
      <c r="G53" s="9"/>
      <c r="H53" s="9"/>
      <c r="I53" s="9"/>
      <c r="J53" s="9"/>
      <c r="K53" s="9">
        <f t="shared" si="12"/>
        <v>8176.4299999999985</v>
      </c>
      <c r="M53" s="9">
        <f t="shared" si="14"/>
        <v>8176.43</v>
      </c>
      <c r="N53" s="9">
        <f t="shared" si="10"/>
        <v>0</v>
      </c>
    </row>
    <row r="54" spans="1:14" x14ac:dyDescent="0.25">
      <c r="A54" s="2">
        <f t="shared" si="13"/>
        <v>44286</v>
      </c>
      <c r="B54" s="3">
        <f t="shared" si="11"/>
        <v>8176.4299999999985</v>
      </c>
      <c r="C54" s="9"/>
      <c r="D54" s="9"/>
      <c r="E54" s="9"/>
      <c r="F54" s="9"/>
      <c r="G54" s="9"/>
      <c r="H54" s="9"/>
      <c r="I54" s="9"/>
      <c r="J54" s="9"/>
      <c r="K54" s="9">
        <f t="shared" si="12"/>
        <v>8176.4299999999985</v>
      </c>
      <c r="M54" s="9">
        <f t="shared" si="14"/>
        <v>8176.43</v>
      </c>
      <c r="N54" s="9">
        <f t="shared" si="10"/>
        <v>0</v>
      </c>
    </row>
    <row r="55" spans="1:14" x14ac:dyDescent="0.25">
      <c r="A55" s="2">
        <f>+A54+30</f>
        <v>44316</v>
      </c>
      <c r="B55" s="3">
        <f t="shared" si="11"/>
        <v>8176.4299999999985</v>
      </c>
      <c r="C55" s="9"/>
      <c r="D55" s="9"/>
      <c r="E55" s="9"/>
      <c r="F55" s="9"/>
      <c r="G55" s="9"/>
      <c r="H55" s="9"/>
      <c r="I55" s="9"/>
      <c r="J55" s="9"/>
      <c r="K55" s="9">
        <f t="shared" si="12"/>
        <v>8176.4299999999985</v>
      </c>
      <c r="M55" s="9">
        <f t="shared" si="14"/>
        <v>8176.43</v>
      </c>
      <c r="N55" s="9">
        <f t="shared" si="10"/>
        <v>0</v>
      </c>
    </row>
    <row r="56" spans="1:14" x14ac:dyDescent="0.25">
      <c r="A56" s="2">
        <f t="shared" si="13"/>
        <v>44347</v>
      </c>
      <c r="B56" s="3">
        <f t="shared" si="11"/>
        <v>8176.4299999999985</v>
      </c>
      <c r="C56" s="9"/>
      <c r="D56" s="9"/>
      <c r="E56" s="9"/>
      <c r="F56" s="9"/>
      <c r="G56" s="9"/>
      <c r="H56" s="9"/>
      <c r="I56" s="9"/>
      <c r="J56" s="9"/>
      <c r="K56" s="9">
        <f t="shared" si="12"/>
        <v>8176.4299999999985</v>
      </c>
      <c r="M56" s="9">
        <f t="shared" si="14"/>
        <v>8176.43</v>
      </c>
      <c r="N56" s="9">
        <f t="shared" si="10"/>
        <v>0</v>
      </c>
    </row>
    <row r="57" spans="1:14" x14ac:dyDescent="0.25">
      <c r="A57" s="2">
        <f>+A56+30</f>
        <v>44377</v>
      </c>
      <c r="B57" s="3">
        <f t="shared" si="11"/>
        <v>8176.4299999999985</v>
      </c>
      <c r="C57" s="9"/>
      <c r="D57" s="25"/>
      <c r="E57" s="25"/>
      <c r="F57" s="25"/>
      <c r="G57" s="25"/>
      <c r="H57" s="25"/>
      <c r="I57" s="25"/>
      <c r="J57" s="9"/>
      <c r="K57" s="9">
        <f t="shared" si="12"/>
        <v>8176.4299999999985</v>
      </c>
      <c r="M57" s="9">
        <f t="shared" si="14"/>
        <v>8176.43</v>
      </c>
      <c r="N57" s="16">
        <f t="shared" si="10"/>
        <v>0</v>
      </c>
    </row>
    <row r="58" spans="1:14" x14ac:dyDescent="0.25">
      <c r="B58" s="3"/>
      <c r="C58" s="9"/>
      <c r="D58" s="9"/>
      <c r="E58" s="9"/>
      <c r="F58" s="9"/>
      <c r="G58" s="9"/>
      <c r="H58" s="9"/>
      <c r="I58" s="9"/>
      <c r="J58" s="9"/>
      <c r="K58" s="9"/>
    </row>
    <row r="59" spans="1:14" ht="15.75" thickBot="1" x14ac:dyDescent="0.3">
      <c r="A59" t="s">
        <v>16</v>
      </c>
      <c r="B59" s="3"/>
      <c r="C59" s="18">
        <f>SUM(C46:C57)</f>
        <v>0</v>
      </c>
      <c r="D59" s="18">
        <f t="shared" ref="D59:J59" si="15">SUM(D46:D57)</f>
        <v>-206.11</v>
      </c>
      <c r="E59" s="18">
        <f t="shared" si="15"/>
        <v>0</v>
      </c>
      <c r="F59" s="18">
        <f t="shared" si="15"/>
        <v>0</v>
      </c>
      <c r="G59" s="18">
        <f t="shared" si="15"/>
        <v>0</v>
      </c>
      <c r="H59" s="18">
        <f t="shared" si="15"/>
        <v>0</v>
      </c>
      <c r="I59" s="18">
        <f t="shared" si="15"/>
        <v>0</v>
      </c>
      <c r="J59" s="18">
        <f t="shared" si="15"/>
        <v>0</v>
      </c>
      <c r="K59" s="18">
        <f>+K57</f>
        <v>8176.4299999999985</v>
      </c>
      <c r="N59" s="5"/>
    </row>
    <row r="60" spans="1:14" ht="16.5" thickTop="1" x14ac:dyDescent="0.25">
      <c r="A60" s="22"/>
    </row>
    <row r="61" spans="1:14" ht="18.75" x14ac:dyDescent="0.25">
      <c r="A61" s="23">
        <v>2020</v>
      </c>
    </row>
    <row r="62" spans="1:14" x14ac:dyDescent="0.25">
      <c r="A62" s="33" t="s">
        <v>11</v>
      </c>
      <c r="M62" s="32" t="s">
        <v>22</v>
      </c>
    </row>
    <row r="63" spans="1:14" x14ac:dyDescent="0.25">
      <c r="C63" s="10" t="s">
        <v>19</v>
      </c>
      <c r="D63" s="10" t="s">
        <v>20</v>
      </c>
      <c r="E63" s="10" t="s">
        <v>19</v>
      </c>
      <c r="F63" s="10" t="s">
        <v>19</v>
      </c>
      <c r="G63" s="10" t="s">
        <v>20</v>
      </c>
      <c r="H63" s="10" t="s">
        <v>20</v>
      </c>
      <c r="I63" s="10" t="s">
        <v>21</v>
      </c>
      <c r="J63" s="10" t="s">
        <v>20</v>
      </c>
      <c r="K63" s="7" t="s">
        <v>10</v>
      </c>
      <c r="L63" s="7"/>
      <c r="M63" s="7" t="s">
        <v>9</v>
      </c>
    </row>
    <row r="64" spans="1:14" x14ac:dyDescent="0.25">
      <c r="B64" s="4" t="s">
        <v>1</v>
      </c>
      <c r="C64" s="6" t="s">
        <v>2</v>
      </c>
      <c r="D64" s="6" t="s">
        <v>3</v>
      </c>
      <c r="E64" s="6" t="s">
        <v>12</v>
      </c>
      <c r="F64" s="6" t="s">
        <v>4</v>
      </c>
      <c r="G64" s="6" t="s">
        <v>5</v>
      </c>
      <c r="H64" s="6" t="s">
        <v>13</v>
      </c>
      <c r="I64" s="6" t="s">
        <v>6</v>
      </c>
      <c r="J64" s="6" t="s">
        <v>7</v>
      </c>
      <c r="K64" s="6" t="s">
        <v>8</v>
      </c>
      <c r="L64" s="7"/>
      <c r="M64" s="6" t="s">
        <v>8</v>
      </c>
      <c r="N64" s="6" t="s">
        <v>14</v>
      </c>
    </row>
    <row r="65" spans="1:14" x14ac:dyDescent="0.25">
      <c r="A65" s="2">
        <v>43677</v>
      </c>
      <c r="B65" s="9">
        <v>1059.55</v>
      </c>
      <c r="C65" s="9"/>
      <c r="D65" s="9"/>
      <c r="E65" s="9"/>
      <c r="F65" s="9"/>
      <c r="G65" s="9"/>
      <c r="H65" s="9"/>
      <c r="I65" s="9"/>
      <c r="J65" s="9"/>
      <c r="K65" s="9">
        <f>SUM(B65:J65)</f>
        <v>1059.55</v>
      </c>
      <c r="M65" s="9">
        <v>1059.96</v>
      </c>
      <c r="N65" s="9">
        <f t="shared" ref="N65:N74" si="16">+K65-M65</f>
        <v>-0.41000000000008185</v>
      </c>
    </row>
    <row r="66" spans="1:14" x14ac:dyDescent="0.25">
      <c r="A66" s="2">
        <f>+A65+31</f>
        <v>43708</v>
      </c>
      <c r="B66" s="9">
        <f>+K65</f>
        <v>1059.55</v>
      </c>
      <c r="C66" s="9"/>
      <c r="D66" s="9"/>
      <c r="E66" s="9"/>
      <c r="F66" s="9"/>
      <c r="G66" s="9"/>
      <c r="H66" s="9"/>
      <c r="I66" s="9"/>
      <c r="J66" s="9"/>
      <c r="K66" s="9">
        <f>SUM(B66:J66)</f>
        <v>1059.55</v>
      </c>
      <c r="M66" s="9">
        <f>+M65</f>
        <v>1059.96</v>
      </c>
      <c r="N66" s="9">
        <f t="shared" si="16"/>
        <v>-0.41000000000008185</v>
      </c>
    </row>
    <row r="67" spans="1:14" x14ac:dyDescent="0.25">
      <c r="A67" s="2">
        <f>+A66+30</f>
        <v>43738</v>
      </c>
      <c r="B67" s="9">
        <f t="shared" ref="B67:B76" si="17">+K66</f>
        <v>1059.55</v>
      </c>
      <c r="C67" s="9"/>
      <c r="D67" s="9">
        <v>-173.39</v>
      </c>
      <c r="E67" s="9"/>
      <c r="F67" s="9"/>
      <c r="G67" s="9"/>
      <c r="H67" s="9"/>
      <c r="I67" s="9"/>
      <c r="J67" s="9"/>
      <c r="K67" s="9">
        <f t="shared" ref="K67:K76" si="18">SUM(B67:J67)</f>
        <v>886.16</v>
      </c>
      <c r="M67" s="9">
        <f>+M66-173.39</f>
        <v>886.57</v>
      </c>
      <c r="N67" s="9">
        <f t="shared" si="16"/>
        <v>-0.41000000000008185</v>
      </c>
    </row>
    <row r="68" spans="1:14" x14ac:dyDescent="0.25">
      <c r="A68" s="2">
        <f t="shared" ref="A68:A75" si="19">+A67+31</f>
        <v>43769</v>
      </c>
      <c r="B68" s="9">
        <f t="shared" si="17"/>
        <v>886.16</v>
      </c>
      <c r="C68" s="9"/>
      <c r="D68" s="9"/>
      <c r="E68" s="9"/>
      <c r="F68" s="9"/>
      <c r="G68" s="9"/>
      <c r="H68" s="9"/>
      <c r="I68" s="9"/>
      <c r="J68" s="9"/>
      <c r="K68" s="9">
        <f t="shared" si="18"/>
        <v>886.16</v>
      </c>
      <c r="M68" s="9">
        <f>+M67</f>
        <v>886.57</v>
      </c>
      <c r="N68" s="9">
        <f t="shared" si="16"/>
        <v>-0.41000000000008185</v>
      </c>
    </row>
    <row r="69" spans="1:14" x14ac:dyDescent="0.25">
      <c r="A69" s="2">
        <f>+A68+30</f>
        <v>43799</v>
      </c>
      <c r="B69" s="9">
        <f t="shared" si="17"/>
        <v>886.16</v>
      </c>
      <c r="C69" s="9"/>
      <c r="D69" s="9"/>
      <c r="E69" s="9"/>
      <c r="F69" s="9"/>
      <c r="G69" s="9"/>
      <c r="H69" s="9"/>
      <c r="I69" s="9"/>
      <c r="J69" s="9"/>
      <c r="K69" s="9">
        <f t="shared" si="18"/>
        <v>886.16</v>
      </c>
      <c r="M69" s="9">
        <f t="shared" ref="M69:M76" si="20">+M68</f>
        <v>886.57</v>
      </c>
      <c r="N69" s="9">
        <f t="shared" si="16"/>
        <v>-0.41000000000008185</v>
      </c>
    </row>
    <row r="70" spans="1:14" x14ac:dyDescent="0.25">
      <c r="A70" s="2">
        <f t="shared" si="19"/>
        <v>43830</v>
      </c>
      <c r="B70" s="9">
        <f t="shared" si="17"/>
        <v>886.16</v>
      </c>
      <c r="C70" s="9"/>
      <c r="D70" s="9"/>
      <c r="E70" s="9"/>
      <c r="F70" s="9"/>
      <c r="G70" s="9"/>
      <c r="H70" s="9"/>
      <c r="I70" s="9"/>
      <c r="J70" s="9"/>
      <c r="K70" s="9">
        <f t="shared" si="18"/>
        <v>886.16</v>
      </c>
      <c r="M70" s="9">
        <f t="shared" si="20"/>
        <v>886.57</v>
      </c>
      <c r="N70" s="9">
        <f t="shared" si="16"/>
        <v>-0.41000000000008185</v>
      </c>
    </row>
    <row r="71" spans="1:14" x14ac:dyDescent="0.25">
      <c r="A71" s="2">
        <f t="shared" si="19"/>
        <v>43861</v>
      </c>
      <c r="B71" s="9">
        <f t="shared" si="17"/>
        <v>886.16</v>
      </c>
      <c r="C71" s="9"/>
      <c r="D71" s="9"/>
      <c r="E71" s="9"/>
      <c r="F71" s="9"/>
      <c r="G71" s="9"/>
      <c r="H71" s="9"/>
      <c r="I71" s="9"/>
      <c r="J71" s="9"/>
      <c r="K71" s="9">
        <f t="shared" si="18"/>
        <v>886.16</v>
      </c>
      <c r="M71" s="9">
        <f t="shared" si="20"/>
        <v>886.57</v>
      </c>
      <c r="N71" s="9">
        <f t="shared" si="16"/>
        <v>-0.41000000000008185</v>
      </c>
    </row>
    <row r="72" spans="1:14" x14ac:dyDescent="0.25">
      <c r="A72" s="2">
        <f>+A71+28</f>
        <v>43889</v>
      </c>
      <c r="B72" s="9">
        <f t="shared" si="17"/>
        <v>886.16</v>
      </c>
      <c r="C72" s="9"/>
      <c r="D72" s="9"/>
      <c r="E72" s="9"/>
      <c r="F72" s="9"/>
      <c r="G72" s="9"/>
      <c r="H72" s="9"/>
      <c r="I72" s="9"/>
      <c r="J72" s="9"/>
      <c r="K72" s="9">
        <f t="shared" si="18"/>
        <v>886.16</v>
      </c>
      <c r="M72" s="9">
        <f t="shared" si="20"/>
        <v>886.57</v>
      </c>
      <c r="N72" s="9">
        <f t="shared" si="16"/>
        <v>-0.41000000000008185</v>
      </c>
    </row>
    <row r="73" spans="1:14" x14ac:dyDescent="0.25">
      <c r="A73" s="2">
        <f t="shared" si="19"/>
        <v>43920</v>
      </c>
      <c r="B73" s="9">
        <f t="shared" si="17"/>
        <v>886.16</v>
      </c>
      <c r="C73" s="9"/>
      <c r="D73" s="9"/>
      <c r="E73" s="9"/>
      <c r="F73" s="9"/>
      <c r="G73" s="9"/>
      <c r="H73" s="9"/>
      <c r="I73" s="9"/>
      <c r="J73" s="9"/>
      <c r="K73" s="9">
        <f t="shared" si="18"/>
        <v>886.16</v>
      </c>
      <c r="M73" s="9">
        <f t="shared" si="20"/>
        <v>886.57</v>
      </c>
      <c r="N73" s="9">
        <f t="shared" si="16"/>
        <v>-0.41000000000008185</v>
      </c>
    </row>
    <row r="74" spans="1:14" x14ac:dyDescent="0.25">
      <c r="A74" s="2">
        <f>+A73+30</f>
        <v>43950</v>
      </c>
      <c r="B74" s="9">
        <f t="shared" si="17"/>
        <v>886.16</v>
      </c>
      <c r="C74" s="9"/>
      <c r="D74" s="9"/>
      <c r="E74" s="9"/>
      <c r="F74" s="9"/>
      <c r="G74" s="9"/>
      <c r="H74" s="9"/>
      <c r="I74" s="9"/>
      <c r="J74" s="9"/>
      <c r="K74" s="9">
        <f t="shared" si="18"/>
        <v>886.16</v>
      </c>
      <c r="M74" s="9">
        <f t="shared" si="20"/>
        <v>886.57</v>
      </c>
      <c r="N74" s="9">
        <f t="shared" si="16"/>
        <v>-0.41000000000008185</v>
      </c>
    </row>
    <row r="75" spans="1:14" x14ac:dyDescent="0.25">
      <c r="A75" s="2">
        <f t="shared" si="19"/>
        <v>43981</v>
      </c>
      <c r="B75" s="9">
        <f t="shared" si="17"/>
        <v>886.16</v>
      </c>
      <c r="C75" s="9"/>
      <c r="D75" s="9"/>
      <c r="E75" s="9"/>
      <c r="F75" s="9"/>
      <c r="G75" s="9"/>
      <c r="H75" s="9"/>
      <c r="I75" s="9"/>
      <c r="J75" s="9"/>
      <c r="K75" s="9">
        <f t="shared" si="18"/>
        <v>886.16</v>
      </c>
      <c r="M75" s="9">
        <f t="shared" si="20"/>
        <v>886.57</v>
      </c>
      <c r="N75" s="9">
        <f>+K75-M75</f>
        <v>-0.41000000000008185</v>
      </c>
    </row>
    <row r="76" spans="1:14" x14ac:dyDescent="0.25">
      <c r="A76" s="2">
        <f>+A75+30</f>
        <v>44011</v>
      </c>
      <c r="B76" s="9">
        <f t="shared" si="17"/>
        <v>886.16</v>
      </c>
      <c r="C76" s="9"/>
      <c r="D76" s="9"/>
      <c r="E76" s="9"/>
      <c r="F76" s="9"/>
      <c r="G76" s="9"/>
      <c r="H76" s="9"/>
      <c r="I76" s="9"/>
      <c r="J76" s="9"/>
      <c r="K76" s="9">
        <f t="shared" si="18"/>
        <v>886.16</v>
      </c>
      <c r="M76" s="9">
        <f t="shared" si="20"/>
        <v>886.57</v>
      </c>
      <c r="N76" s="16">
        <f>+K76-M76</f>
        <v>-0.41000000000008185</v>
      </c>
    </row>
    <row r="77" spans="1:14" x14ac:dyDescent="0.25"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4" ht="15.75" thickBot="1" x14ac:dyDescent="0.3">
      <c r="A78" t="s">
        <v>16</v>
      </c>
      <c r="B78" s="3"/>
      <c r="C78" s="18">
        <f>SUM(C65:C76)</f>
        <v>0</v>
      </c>
      <c r="D78" s="18">
        <f t="shared" ref="D78:J78" si="21">SUM(D65:D76)</f>
        <v>-173.39</v>
      </c>
      <c r="E78" s="18">
        <f t="shared" si="21"/>
        <v>0</v>
      </c>
      <c r="F78" s="18">
        <f t="shared" si="21"/>
        <v>0</v>
      </c>
      <c r="G78" s="18">
        <f t="shared" si="21"/>
        <v>0</v>
      </c>
      <c r="H78" s="18">
        <f t="shared" si="21"/>
        <v>0</v>
      </c>
      <c r="I78" s="18">
        <f t="shared" si="21"/>
        <v>0</v>
      </c>
      <c r="J78" s="18">
        <f t="shared" si="21"/>
        <v>0</v>
      </c>
      <c r="K78" s="18">
        <f>+K76</f>
        <v>886.16</v>
      </c>
      <c r="N78" s="5"/>
    </row>
    <row r="79" spans="1:14" ht="15.75" thickTop="1" x14ac:dyDescent="0.25">
      <c r="B79" s="3"/>
      <c r="C79" s="20"/>
      <c r="D79" s="20"/>
      <c r="E79" s="20"/>
      <c r="F79" s="20"/>
      <c r="G79" s="20"/>
      <c r="H79" s="20"/>
      <c r="I79" s="20"/>
      <c r="J79" s="20"/>
      <c r="K79" s="20"/>
      <c r="N79" s="5"/>
    </row>
    <row r="80" spans="1:14" ht="18.75" x14ac:dyDescent="0.25">
      <c r="A80" s="23">
        <v>2019</v>
      </c>
    </row>
    <row r="81" spans="1:14" x14ac:dyDescent="0.25">
      <c r="A81" s="33" t="s">
        <v>17</v>
      </c>
      <c r="M81" s="32" t="s">
        <v>26</v>
      </c>
    </row>
    <row r="82" spans="1:14" x14ac:dyDescent="0.25">
      <c r="C82" s="10" t="s">
        <v>19</v>
      </c>
      <c r="D82" s="10" t="s">
        <v>20</v>
      </c>
      <c r="E82" s="10" t="s">
        <v>19</v>
      </c>
      <c r="F82" s="10" t="s">
        <v>19</v>
      </c>
      <c r="G82" s="10" t="s">
        <v>20</v>
      </c>
      <c r="H82" s="10" t="s">
        <v>20</v>
      </c>
      <c r="I82" s="10" t="s">
        <v>21</v>
      </c>
      <c r="J82" s="10" t="s">
        <v>20</v>
      </c>
      <c r="K82" s="7" t="s">
        <v>10</v>
      </c>
      <c r="L82" s="7"/>
      <c r="M82" s="7" t="s">
        <v>9</v>
      </c>
    </row>
    <row r="83" spans="1:14" x14ac:dyDescent="0.25">
      <c r="B83" s="4" t="s">
        <v>1</v>
      </c>
      <c r="C83" s="6" t="s">
        <v>2</v>
      </c>
      <c r="D83" s="6" t="s">
        <v>3</v>
      </c>
      <c r="E83" s="6" t="s">
        <v>12</v>
      </c>
      <c r="F83" s="6" t="s">
        <v>4</v>
      </c>
      <c r="G83" s="6" t="s">
        <v>5</v>
      </c>
      <c r="H83" s="6" t="s">
        <v>13</v>
      </c>
      <c r="I83" s="6" t="s">
        <v>6</v>
      </c>
      <c r="J83" s="6" t="s">
        <v>7</v>
      </c>
      <c r="K83" s="6" t="s">
        <v>8</v>
      </c>
      <c r="L83" s="7"/>
      <c r="M83" s="6" t="s">
        <v>8</v>
      </c>
      <c r="N83" s="6" t="s">
        <v>14</v>
      </c>
    </row>
    <row r="84" spans="1:14" x14ac:dyDescent="0.25">
      <c r="A84" s="2">
        <v>43312</v>
      </c>
      <c r="B84" s="9">
        <v>680.19</v>
      </c>
      <c r="C84" s="9"/>
      <c r="D84" s="9"/>
      <c r="E84" s="9"/>
      <c r="F84" s="9"/>
      <c r="G84" s="9"/>
      <c r="H84" s="9"/>
      <c r="I84" s="9"/>
      <c r="J84" s="9"/>
      <c r="K84" s="9">
        <f>SUM(B84:J84)</f>
        <v>680.19</v>
      </c>
      <c r="M84" s="3">
        <v>678.73</v>
      </c>
      <c r="N84" s="9">
        <f t="shared" ref="N84:N92" si="22">+K84-M84</f>
        <v>1.4600000000000364</v>
      </c>
    </row>
    <row r="85" spans="1:14" x14ac:dyDescent="0.25">
      <c r="A85" s="2">
        <f>+A84+31</f>
        <v>43343</v>
      </c>
      <c r="B85" s="9">
        <f>+K84</f>
        <v>680.19</v>
      </c>
      <c r="C85" s="9"/>
      <c r="D85" s="9"/>
      <c r="E85" s="9"/>
      <c r="F85" s="9"/>
      <c r="G85" s="9"/>
      <c r="H85" s="9"/>
      <c r="I85" s="9"/>
      <c r="J85" s="9"/>
      <c r="K85" s="9">
        <f>SUM(B85:J85)</f>
        <v>680.19</v>
      </c>
      <c r="M85" s="3">
        <f>+M84</f>
        <v>678.73</v>
      </c>
      <c r="N85" s="9">
        <f t="shared" si="22"/>
        <v>1.4600000000000364</v>
      </c>
    </row>
    <row r="86" spans="1:14" x14ac:dyDescent="0.25">
      <c r="A86" s="2">
        <f>+A85+30</f>
        <v>43373</v>
      </c>
      <c r="B86" s="9">
        <f t="shared" ref="B86:B95" si="23">+K85</f>
        <v>680.19</v>
      </c>
      <c r="C86" s="9"/>
      <c r="D86" s="9">
        <v>-39.06</v>
      </c>
      <c r="E86" s="9"/>
      <c r="F86" s="9"/>
      <c r="G86" s="9"/>
      <c r="H86" s="9"/>
      <c r="I86" s="9"/>
      <c r="J86" s="9"/>
      <c r="K86" s="9">
        <f t="shared" ref="K86:K95" si="24">SUM(B86:J86)</f>
        <v>641.13000000000011</v>
      </c>
      <c r="M86" s="3">
        <f>+M84-39.06</f>
        <v>639.67000000000007</v>
      </c>
      <c r="N86" s="9">
        <f t="shared" si="22"/>
        <v>1.4600000000000364</v>
      </c>
    </row>
    <row r="87" spans="1:14" x14ac:dyDescent="0.25">
      <c r="A87" s="2">
        <f t="shared" ref="A87:A94" si="25">+A86+31</f>
        <v>43404</v>
      </c>
      <c r="B87" s="9">
        <f t="shared" si="23"/>
        <v>641.13000000000011</v>
      </c>
      <c r="C87" s="9"/>
      <c r="D87" s="9"/>
      <c r="E87" s="9"/>
      <c r="F87" s="9"/>
      <c r="G87" s="9"/>
      <c r="H87" s="9"/>
      <c r="I87" s="9"/>
      <c r="J87" s="9"/>
      <c r="K87" s="9">
        <f t="shared" si="24"/>
        <v>641.13000000000011</v>
      </c>
      <c r="M87" s="3">
        <f>+M86</f>
        <v>639.67000000000007</v>
      </c>
      <c r="N87" s="9">
        <f t="shared" si="22"/>
        <v>1.4600000000000364</v>
      </c>
    </row>
    <row r="88" spans="1:14" x14ac:dyDescent="0.25">
      <c r="A88" s="2">
        <f>+A87+30</f>
        <v>43434</v>
      </c>
      <c r="B88" s="9">
        <f t="shared" si="23"/>
        <v>641.13000000000011</v>
      </c>
      <c r="C88" s="9"/>
      <c r="D88" s="9"/>
      <c r="E88" s="9"/>
      <c r="F88" s="9"/>
      <c r="G88" s="9"/>
      <c r="H88" s="9"/>
      <c r="I88" s="9"/>
      <c r="J88" s="9"/>
      <c r="K88" s="9">
        <f t="shared" si="24"/>
        <v>641.13000000000011</v>
      </c>
      <c r="M88" s="3">
        <f>+M87</f>
        <v>639.67000000000007</v>
      </c>
      <c r="N88" s="9">
        <f t="shared" si="22"/>
        <v>1.4600000000000364</v>
      </c>
    </row>
    <row r="89" spans="1:14" x14ac:dyDescent="0.25">
      <c r="A89" s="2">
        <f t="shared" si="25"/>
        <v>43465</v>
      </c>
      <c r="B89" s="9">
        <f t="shared" si="23"/>
        <v>641.13000000000011</v>
      </c>
      <c r="C89" s="9"/>
      <c r="D89" s="9"/>
      <c r="E89" s="9"/>
      <c r="F89" s="9"/>
      <c r="G89" s="9"/>
      <c r="H89" s="9"/>
      <c r="I89" s="9"/>
      <c r="J89" s="9"/>
      <c r="K89" s="9">
        <f t="shared" si="24"/>
        <v>641.13000000000011</v>
      </c>
      <c r="M89" s="3">
        <f>+M88</f>
        <v>639.67000000000007</v>
      </c>
      <c r="N89" s="9">
        <f t="shared" si="22"/>
        <v>1.4600000000000364</v>
      </c>
    </row>
    <row r="90" spans="1:14" x14ac:dyDescent="0.25">
      <c r="A90" s="2">
        <f t="shared" si="25"/>
        <v>43496</v>
      </c>
      <c r="B90" s="9">
        <f t="shared" si="23"/>
        <v>641.13000000000011</v>
      </c>
      <c r="C90" s="9"/>
      <c r="D90" s="9">
        <v>-71.12</v>
      </c>
      <c r="E90" s="9"/>
      <c r="F90" s="9"/>
      <c r="G90" s="9"/>
      <c r="H90" s="9"/>
      <c r="I90" s="9"/>
      <c r="J90" s="9"/>
      <c r="K90" s="9">
        <f t="shared" si="24"/>
        <v>570.0100000000001</v>
      </c>
      <c r="M90" s="3">
        <f>+M89-71.12</f>
        <v>568.55000000000007</v>
      </c>
      <c r="N90" s="9">
        <f t="shared" si="22"/>
        <v>1.4600000000000364</v>
      </c>
    </row>
    <row r="91" spans="1:14" x14ac:dyDescent="0.25">
      <c r="A91" s="2">
        <f>+A90+28</f>
        <v>43524</v>
      </c>
      <c r="B91" s="9">
        <f t="shared" si="23"/>
        <v>570.0100000000001</v>
      </c>
      <c r="C91" s="9"/>
      <c r="D91" s="9"/>
      <c r="E91" s="9"/>
      <c r="F91" s="9"/>
      <c r="G91" s="9"/>
      <c r="H91" s="9"/>
      <c r="I91" s="9"/>
      <c r="J91" s="9"/>
      <c r="K91" s="9">
        <f t="shared" si="24"/>
        <v>570.0100000000001</v>
      </c>
      <c r="M91" s="3">
        <f>+M90</f>
        <v>568.55000000000007</v>
      </c>
      <c r="N91" s="9">
        <f t="shared" si="22"/>
        <v>1.4600000000000364</v>
      </c>
    </row>
    <row r="92" spans="1:14" x14ac:dyDescent="0.25">
      <c r="A92" s="2">
        <f t="shared" si="25"/>
        <v>43555</v>
      </c>
      <c r="B92" s="9">
        <f t="shared" si="23"/>
        <v>570.0100000000001</v>
      </c>
      <c r="C92" s="9"/>
      <c r="D92" s="9"/>
      <c r="E92" s="9"/>
      <c r="F92" s="9"/>
      <c r="G92" s="9"/>
      <c r="H92" s="9"/>
      <c r="I92" s="9"/>
      <c r="J92" s="9"/>
      <c r="K92" s="9">
        <f t="shared" si="24"/>
        <v>570.0100000000001</v>
      </c>
      <c r="M92" s="3">
        <f t="shared" ref="M92:M95" si="26">+M91</f>
        <v>568.55000000000007</v>
      </c>
      <c r="N92" s="9">
        <f t="shared" si="22"/>
        <v>1.4600000000000364</v>
      </c>
    </row>
    <row r="93" spans="1:14" x14ac:dyDescent="0.25">
      <c r="A93" s="2">
        <f>+A92+30</f>
        <v>43585</v>
      </c>
      <c r="B93" s="9">
        <f t="shared" si="23"/>
        <v>570.0100000000001</v>
      </c>
      <c r="C93" s="9"/>
      <c r="D93" s="9"/>
      <c r="E93" s="9"/>
      <c r="F93" s="9"/>
      <c r="G93" s="9"/>
      <c r="H93" s="9"/>
      <c r="I93" s="9"/>
      <c r="J93" s="9"/>
      <c r="K93" s="9">
        <f t="shared" si="24"/>
        <v>570.0100000000001</v>
      </c>
      <c r="M93" s="3">
        <f t="shared" si="26"/>
        <v>568.55000000000007</v>
      </c>
      <c r="N93" s="9">
        <f>+K93-M93</f>
        <v>1.4600000000000364</v>
      </c>
    </row>
    <row r="94" spans="1:14" x14ac:dyDescent="0.25">
      <c r="A94" s="2">
        <f t="shared" si="25"/>
        <v>43616</v>
      </c>
      <c r="B94" s="9">
        <f t="shared" si="23"/>
        <v>570.0100000000001</v>
      </c>
      <c r="C94" s="9"/>
      <c r="D94" s="9"/>
      <c r="E94" s="9"/>
      <c r="F94" s="9"/>
      <c r="G94" s="9"/>
      <c r="H94" s="9"/>
      <c r="I94" s="9"/>
      <c r="J94" s="9"/>
      <c r="K94" s="9">
        <f t="shared" si="24"/>
        <v>570.0100000000001</v>
      </c>
      <c r="M94" s="3">
        <f t="shared" si="26"/>
        <v>568.55000000000007</v>
      </c>
      <c r="N94" s="9">
        <f>+K94-M94</f>
        <v>1.4600000000000364</v>
      </c>
    </row>
    <row r="95" spans="1:14" x14ac:dyDescent="0.25">
      <c r="A95" s="2">
        <f>+A94+30</f>
        <v>43646</v>
      </c>
      <c r="B95" s="9">
        <f t="shared" si="23"/>
        <v>570.0100000000001</v>
      </c>
      <c r="C95" s="9"/>
      <c r="D95" s="9"/>
      <c r="E95" s="9"/>
      <c r="F95" s="9"/>
      <c r="G95" s="9"/>
      <c r="H95" s="9"/>
      <c r="I95" s="9"/>
      <c r="J95" s="9"/>
      <c r="K95" s="9">
        <f t="shared" si="24"/>
        <v>570.0100000000001</v>
      </c>
      <c r="M95" s="3">
        <f t="shared" si="26"/>
        <v>568.55000000000007</v>
      </c>
      <c r="N95" s="14">
        <f>+K95-M95</f>
        <v>1.4600000000000364</v>
      </c>
    </row>
    <row r="96" spans="1:14" x14ac:dyDescent="0.25">
      <c r="B96" s="9"/>
      <c r="C96" s="9"/>
      <c r="D96" s="9"/>
      <c r="E96" s="9"/>
      <c r="F96" s="9"/>
      <c r="G96" s="9"/>
      <c r="H96" s="9"/>
      <c r="I96" s="9"/>
      <c r="J96" s="9"/>
      <c r="K96" s="9"/>
      <c r="M96" s="3"/>
    </row>
    <row r="97" spans="1:15" ht="15.75" thickBot="1" x14ac:dyDescent="0.3">
      <c r="A97" t="s">
        <v>16</v>
      </c>
      <c r="B97" s="3">
        <f>+B84</f>
        <v>680.19</v>
      </c>
      <c r="C97" s="18">
        <f>SUM(C84:C95)</f>
        <v>0</v>
      </c>
      <c r="D97" s="18">
        <f t="shared" ref="D97:J97" si="27">SUM(D84:D95)</f>
        <v>-110.18</v>
      </c>
      <c r="E97" s="18">
        <f t="shared" si="27"/>
        <v>0</v>
      </c>
      <c r="F97" s="18">
        <f t="shared" si="27"/>
        <v>0</v>
      </c>
      <c r="G97" s="18">
        <f t="shared" si="27"/>
        <v>0</v>
      </c>
      <c r="H97" s="18">
        <f t="shared" si="27"/>
        <v>0</v>
      </c>
      <c r="I97" s="18">
        <f t="shared" si="27"/>
        <v>0</v>
      </c>
      <c r="J97" s="18">
        <f t="shared" si="27"/>
        <v>0</v>
      </c>
      <c r="K97" s="18">
        <f>SUM(B97:J97)</f>
        <v>570.01</v>
      </c>
      <c r="N97" s="5"/>
    </row>
    <row r="98" spans="1:15" ht="15.75" thickTop="1" x14ac:dyDescent="0.25">
      <c r="B98" s="3"/>
      <c r="C98" s="20"/>
      <c r="D98" s="20"/>
      <c r="E98" s="20"/>
      <c r="F98" s="20"/>
      <c r="G98" s="20"/>
      <c r="H98" s="20"/>
      <c r="I98" s="20"/>
      <c r="J98" s="20"/>
      <c r="K98" s="20"/>
      <c r="N98" s="5"/>
      <c r="O98" s="12"/>
    </row>
    <row r="99" spans="1:15" ht="18.75" x14ac:dyDescent="0.25">
      <c r="A99" s="23">
        <v>2018</v>
      </c>
      <c r="O99" s="12"/>
    </row>
    <row r="100" spans="1:15" x14ac:dyDescent="0.25">
      <c r="A100" s="33" t="s">
        <v>27</v>
      </c>
      <c r="M100" s="32" t="s">
        <v>29</v>
      </c>
      <c r="O100" s="12"/>
    </row>
    <row r="101" spans="1:15" x14ac:dyDescent="0.25">
      <c r="C101" s="10" t="s">
        <v>19</v>
      </c>
      <c r="D101" s="10" t="s">
        <v>20</v>
      </c>
      <c r="E101" s="10" t="s">
        <v>19</v>
      </c>
      <c r="F101" s="10" t="s">
        <v>19</v>
      </c>
      <c r="G101" s="10" t="s">
        <v>20</v>
      </c>
      <c r="H101" s="10" t="s">
        <v>20</v>
      </c>
      <c r="I101" s="10" t="s">
        <v>21</v>
      </c>
      <c r="J101" s="10" t="s">
        <v>20</v>
      </c>
      <c r="K101" s="7" t="s">
        <v>10</v>
      </c>
      <c r="L101" s="7"/>
      <c r="M101" s="7" t="s">
        <v>9</v>
      </c>
      <c r="O101" s="12"/>
    </row>
    <row r="102" spans="1:15" x14ac:dyDescent="0.25">
      <c r="B102" s="4" t="s">
        <v>1</v>
      </c>
      <c r="C102" s="6" t="s">
        <v>2</v>
      </c>
      <c r="D102" s="6" t="s">
        <v>3</v>
      </c>
      <c r="E102" s="6" t="s">
        <v>12</v>
      </c>
      <c r="F102" s="6" t="s">
        <v>4</v>
      </c>
      <c r="G102" s="6" t="s">
        <v>5</v>
      </c>
      <c r="H102" s="6" t="s">
        <v>13</v>
      </c>
      <c r="I102" s="6" t="s">
        <v>6</v>
      </c>
      <c r="J102" s="6" t="s">
        <v>7</v>
      </c>
      <c r="K102" s="6" t="s">
        <v>8</v>
      </c>
      <c r="L102" s="7"/>
      <c r="M102" s="6" t="s">
        <v>8</v>
      </c>
      <c r="N102" s="6" t="s">
        <v>14</v>
      </c>
      <c r="O102" s="12"/>
    </row>
    <row r="103" spans="1:15" x14ac:dyDescent="0.25">
      <c r="A103" s="2">
        <v>42947</v>
      </c>
      <c r="B103" s="9">
        <v>991.63</v>
      </c>
      <c r="C103" s="9"/>
      <c r="D103" s="9"/>
      <c r="E103" s="9"/>
      <c r="F103" s="9"/>
      <c r="G103" s="9"/>
      <c r="H103" s="9"/>
      <c r="I103" s="9"/>
      <c r="J103" s="9"/>
      <c r="K103" s="9">
        <f>SUM(B103:J103)</f>
        <v>991.63</v>
      </c>
      <c r="M103" s="3">
        <v>991.63</v>
      </c>
      <c r="N103" s="9">
        <f t="shared" ref="N103:N112" si="28">+K103-M103</f>
        <v>0</v>
      </c>
      <c r="O103" s="12"/>
    </row>
    <row r="104" spans="1:15" x14ac:dyDescent="0.25">
      <c r="A104" s="2">
        <f>+A103+31</f>
        <v>42978</v>
      </c>
      <c r="B104" s="9">
        <f>+K103</f>
        <v>991.63</v>
      </c>
      <c r="C104" s="9"/>
      <c r="D104" s="9"/>
      <c r="E104" s="9"/>
      <c r="F104" s="9"/>
      <c r="G104" s="9"/>
      <c r="H104" s="9"/>
      <c r="I104" s="9"/>
      <c r="J104" s="9"/>
      <c r="K104" s="9">
        <f t="shared" ref="K104:K114" si="29">SUM(B104:J104)</f>
        <v>991.63</v>
      </c>
      <c r="M104" s="3">
        <v>991.63</v>
      </c>
      <c r="N104" s="9">
        <f t="shared" si="28"/>
        <v>0</v>
      </c>
      <c r="O104" s="12"/>
    </row>
    <row r="105" spans="1:15" x14ac:dyDescent="0.25">
      <c r="A105" s="2">
        <f>+A104+30</f>
        <v>43008</v>
      </c>
      <c r="B105" s="9">
        <f t="shared" ref="B105:B114" si="30">+K104</f>
        <v>991.63</v>
      </c>
      <c r="C105" s="9"/>
      <c r="D105" s="9"/>
      <c r="E105" s="9"/>
      <c r="F105" s="9"/>
      <c r="G105" s="9"/>
      <c r="H105" s="9"/>
      <c r="I105" s="9"/>
      <c r="J105" s="9"/>
      <c r="K105" s="9">
        <f t="shared" si="29"/>
        <v>991.63</v>
      </c>
      <c r="M105" s="3">
        <v>991.63</v>
      </c>
      <c r="N105" s="9">
        <f t="shared" si="28"/>
        <v>0</v>
      </c>
      <c r="O105" s="12"/>
    </row>
    <row r="106" spans="1:15" x14ac:dyDescent="0.25">
      <c r="A106" s="2">
        <f t="shared" ref="A106:A113" si="31">+A105+31</f>
        <v>43039</v>
      </c>
      <c r="B106" s="9">
        <f t="shared" si="30"/>
        <v>991.63</v>
      </c>
      <c r="C106" s="9"/>
      <c r="D106" s="9"/>
      <c r="E106" s="9"/>
      <c r="F106" s="9"/>
      <c r="G106" s="9"/>
      <c r="H106" s="9"/>
      <c r="I106" s="9"/>
      <c r="J106" s="9"/>
      <c r="K106" s="9">
        <f t="shared" si="29"/>
        <v>991.63</v>
      </c>
      <c r="M106" s="3">
        <v>991.63</v>
      </c>
      <c r="N106" s="9">
        <f t="shared" si="28"/>
        <v>0</v>
      </c>
      <c r="O106" s="12"/>
    </row>
    <row r="107" spans="1:15" x14ac:dyDescent="0.25">
      <c r="A107" s="2">
        <f>+A106+30</f>
        <v>43069</v>
      </c>
      <c r="B107" s="9">
        <f t="shared" si="30"/>
        <v>991.63</v>
      </c>
      <c r="C107" s="9"/>
      <c r="D107" s="9"/>
      <c r="E107" s="9"/>
      <c r="F107" s="9"/>
      <c r="G107" s="9"/>
      <c r="H107" s="9"/>
      <c r="I107" s="9"/>
      <c r="J107" s="9"/>
      <c r="K107" s="9">
        <f t="shared" si="29"/>
        <v>991.63</v>
      </c>
      <c r="M107" s="3">
        <v>991.63</v>
      </c>
      <c r="N107" s="9">
        <f t="shared" si="28"/>
        <v>0</v>
      </c>
      <c r="O107" s="12"/>
    </row>
    <row r="108" spans="1:15" x14ac:dyDescent="0.25">
      <c r="A108" s="2">
        <f t="shared" si="31"/>
        <v>43100</v>
      </c>
      <c r="B108" s="9">
        <f t="shared" si="30"/>
        <v>991.63</v>
      </c>
      <c r="C108" s="9"/>
      <c r="D108" s="9"/>
      <c r="E108" s="9"/>
      <c r="F108" s="9"/>
      <c r="G108" s="9"/>
      <c r="H108" s="9"/>
      <c r="I108" s="9"/>
      <c r="J108" s="9"/>
      <c r="K108" s="9">
        <f t="shared" si="29"/>
        <v>991.63</v>
      </c>
      <c r="M108" s="3">
        <v>991.63</v>
      </c>
      <c r="N108" s="9">
        <f t="shared" si="28"/>
        <v>0</v>
      </c>
      <c r="O108" s="12"/>
    </row>
    <row r="109" spans="1:15" x14ac:dyDescent="0.25">
      <c r="A109" s="2">
        <f t="shared" si="31"/>
        <v>43131</v>
      </c>
      <c r="B109" s="9">
        <f t="shared" si="30"/>
        <v>991.63</v>
      </c>
      <c r="C109" s="9"/>
      <c r="D109" s="9"/>
      <c r="E109" s="9"/>
      <c r="F109" s="9"/>
      <c r="G109" s="9"/>
      <c r="H109" s="9"/>
      <c r="I109" s="9"/>
      <c r="J109" s="9"/>
      <c r="K109" s="9">
        <f t="shared" si="29"/>
        <v>991.63</v>
      </c>
      <c r="M109" s="3">
        <v>991.63</v>
      </c>
      <c r="N109" s="9">
        <f t="shared" si="28"/>
        <v>0</v>
      </c>
      <c r="O109" s="12"/>
    </row>
    <row r="110" spans="1:15" x14ac:dyDescent="0.25">
      <c r="A110" s="2">
        <f>+A109+28</f>
        <v>43159</v>
      </c>
      <c r="B110" s="9">
        <f t="shared" si="30"/>
        <v>991.63</v>
      </c>
      <c r="C110" s="9"/>
      <c r="D110" s="9"/>
      <c r="E110" s="9"/>
      <c r="F110" s="9"/>
      <c r="G110" s="9"/>
      <c r="H110" s="9"/>
      <c r="I110" s="9"/>
      <c r="J110" s="9"/>
      <c r="K110" s="9">
        <f t="shared" si="29"/>
        <v>991.63</v>
      </c>
      <c r="M110" s="3">
        <v>991.63</v>
      </c>
      <c r="N110" s="9">
        <f t="shared" si="28"/>
        <v>0</v>
      </c>
      <c r="O110" s="12"/>
    </row>
    <row r="111" spans="1:15" x14ac:dyDescent="0.25">
      <c r="A111" s="2">
        <f t="shared" si="31"/>
        <v>43190</v>
      </c>
      <c r="B111" s="9">
        <f t="shared" si="30"/>
        <v>991.63</v>
      </c>
      <c r="C111" s="9"/>
      <c r="D111" s="9"/>
      <c r="E111" s="9"/>
      <c r="F111" s="9"/>
      <c r="G111" s="9"/>
      <c r="H111" s="9"/>
      <c r="I111" s="9"/>
      <c r="J111" s="9"/>
      <c r="K111" s="9">
        <f t="shared" si="29"/>
        <v>991.63</v>
      </c>
      <c r="M111" s="3">
        <v>991.63</v>
      </c>
      <c r="N111" s="9">
        <f t="shared" si="28"/>
        <v>0</v>
      </c>
      <c r="O111" s="12"/>
    </row>
    <row r="112" spans="1:15" x14ac:dyDescent="0.25">
      <c r="A112" s="2">
        <f>+A111+30</f>
        <v>43220</v>
      </c>
      <c r="B112" s="9">
        <f t="shared" si="30"/>
        <v>991.63</v>
      </c>
      <c r="C112" s="9"/>
      <c r="D112" s="9"/>
      <c r="E112" s="9"/>
      <c r="F112" s="9"/>
      <c r="G112" s="9"/>
      <c r="H112" s="9"/>
      <c r="I112" s="9"/>
      <c r="J112" s="9"/>
      <c r="K112" s="9">
        <f t="shared" si="29"/>
        <v>991.63</v>
      </c>
      <c r="M112" s="3">
        <v>991.63</v>
      </c>
      <c r="N112" s="9">
        <f t="shared" si="28"/>
        <v>0</v>
      </c>
      <c r="O112" s="12"/>
    </row>
    <row r="113" spans="1:15" x14ac:dyDescent="0.25">
      <c r="A113" s="2">
        <f t="shared" si="31"/>
        <v>43251</v>
      </c>
      <c r="B113" s="9">
        <f t="shared" si="30"/>
        <v>991.63</v>
      </c>
      <c r="C113" s="9"/>
      <c r="D113" s="9"/>
      <c r="E113" s="9"/>
      <c r="F113" s="9"/>
      <c r="G113" s="9"/>
      <c r="H113" s="9"/>
      <c r="I113" s="9"/>
      <c r="J113" s="9"/>
      <c r="K113" s="9">
        <f t="shared" si="29"/>
        <v>991.63</v>
      </c>
      <c r="M113" s="3">
        <v>991.63</v>
      </c>
      <c r="N113" s="9">
        <f>+K113-M113</f>
        <v>0</v>
      </c>
      <c r="O113" s="12"/>
    </row>
    <row r="114" spans="1:15" x14ac:dyDescent="0.25">
      <c r="A114" s="2">
        <f>+A113+30</f>
        <v>43281</v>
      </c>
      <c r="B114" s="9">
        <f t="shared" si="30"/>
        <v>991.63</v>
      </c>
      <c r="C114" s="9"/>
      <c r="D114" s="9"/>
      <c r="E114" s="9"/>
      <c r="F114" s="9"/>
      <c r="G114" s="9"/>
      <c r="H114" s="9"/>
      <c r="I114" s="9"/>
      <c r="J114" s="9"/>
      <c r="K114" s="9">
        <f t="shared" si="29"/>
        <v>991.63</v>
      </c>
      <c r="M114" s="3">
        <v>991.63</v>
      </c>
      <c r="N114" s="16">
        <f>+K114-M114</f>
        <v>0</v>
      </c>
      <c r="O114" s="12"/>
    </row>
    <row r="115" spans="1:15" x14ac:dyDescent="0.25">
      <c r="B115" s="3"/>
      <c r="C115" s="9"/>
      <c r="D115" s="9"/>
      <c r="E115" s="9"/>
      <c r="F115" s="9"/>
      <c r="G115" s="9"/>
      <c r="H115" s="9"/>
      <c r="I115" s="9"/>
      <c r="J115" s="9"/>
      <c r="K115" s="9"/>
      <c r="O115" s="12"/>
    </row>
    <row r="116" spans="1:15" ht="15.75" thickBot="1" x14ac:dyDescent="0.3">
      <c r="A116" t="s">
        <v>16</v>
      </c>
      <c r="B116" s="3">
        <f>+B103</f>
        <v>991.63</v>
      </c>
      <c r="C116" s="18">
        <f>SUM(C103:C114)</f>
        <v>0</v>
      </c>
      <c r="D116" s="18">
        <f t="shared" ref="D116:J116" si="32">SUM(D103:D114)</f>
        <v>0</v>
      </c>
      <c r="E116" s="18">
        <f t="shared" si="32"/>
        <v>0</v>
      </c>
      <c r="F116" s="18">
        <f t="shared" si="32"/>
        <v>0</v>
      </c>
      <c r="G116" s="18">
        <f t="shared" si="32"/>
        <v>0</v>
      </c>
      <c r="H116" s="18">
        <f t="shared" si="32"/>
        <v>0</v>
      </c>
      <c r="I116" s="18">
        <f t="shared" si="32"/>
        <v>0</v>
      </c>
      <c r="J116" s="18">
        <f t="shared" si="32"/>
        <v>0</v>
      </c>
      <c r="K116" s="18">
        <f>SUM(B116:J116)</f>
        <v>991.63</v>
      </c>
      <c r="N116" s="5"/>
      <c r="O116" s="12"/>
    </row>
    <row r="117" spans="1:15" ht="15.75" thickTop="1" x14ac:dyDescent="0.25">
      <c r="O117" s="12"/>
    </row>
    <row r="118" spans="1:15" ht="18.75" x14ac:dyDescent="0.25">
      <c r="A118" s="23">
        <v>2017</v>
      </c>
      <c r="O118" s="12"/>
    </row>
    <row r="119" spans="1:15" x14ac:dyDescent="0.25">
      <c r="A119" s="33" t="s">
        <v>28</v>
      </c>
      <c r="M119" s="32" t="s">
        <v>30</v>
      </c>
      <c r="O119" s="12"/>
    </row>
    <row r="120" spans="1:15" x14ac:dyDescent="0.25">
      <c r="C120" s="10" t="s">
        <v>19</v>
      </c>
      <c r="D120" s="10" t="s">
        <v>20</v>
      </c>
      <c r="E120" s="10" t="s">
        <v>19</v>
      </c>
      <c r="F120" s="10" t="s">
        <v>19</v>
      </c>
      <c r="G120" s="10" t="s">
        <v>20</v>
      </c>
      <c r="H120" s="10" t="s">
        <v>20</v>
      </c>
      <c r="I120" s="10" t="s">
        <v>21</v>
      </c>
      <c r="J120" s="10" t="s">
        <v>20</v>
      </c>
      <c r="K120" s="7" t="s">
        <v>10</v>
      </c>
      <c r="L120" s="7"/>
      <c r="M120" s="7" t="s">
        <v>9</v>
      </c>
      <c r="O120" s="12"/>
    </row>
    <row r="121" spans="1:15" x14ac:dyDescent="0.25">
      <c r="B121" s="4" t="s">
        <v>1</v>
      </c>
      <c r="C121" s="6" t="s">
        <v>2</v>
      </c>
      <c r="D121" s="6" t="s">
        <v>3</v>
      </c>
      <c r="E121" s="6" t="s">
        <v>12</v>
      </c>
      <c r="F121" s="6" t="s">
        <v>4</v>
      </c>
      <c r="G121" s="6" t="s">
        <v>5</v>
      </c>
      <c r="H121" s="6" t="s">
        <v>13</v>
      </c>
      <c r="I121" s="6" t="s">
        <v>6</v>
      </c>
      <c r="J121" s="6" t="s">
        <v>7</v>
      </c>
      <c r="K121" s="6" t="s">
        <v>8</v>
      </c>
      <c r="L121" s="7"/>
      <c r="M121" s="6" t="s">
        <v>8</v>
      </c>
      <c r="N121" s="6" t="s">
        <v>14</v>
      </c>
      <c r="O121" s="12"/>
    </row>
    <row r="122" spans="1:15" x14ac:dyDescent="0.25">
      <c r="A122" s="2">
        <v>42582</v>
      </c>
      <c r="B122" s="9">
        <v>1009.86</v>
      </c>
      <c r="C122" s="9"/>
      <c r="D122" s="9"/>
      <c r="E122" s="9"/>
      <c r="F122" s="9"/>
      <c r="G122" s="9"/>
      <c r="H122" s="9"/>
      <c r="I122" s="9"/>
      <c r="J122" s="9"/>
      <c r="K122" s="9">
        <f t="shared" ref="K122:K133" si="33">SUM(B122:J122)</f>
        <v>1009.86</v>
      </c>
      <c r="M122" s="3">
        <v>1009.86</v>
      </c>
      <c r="N122" s="9">
        <f t="shared" ref="N122:N131" si="34">+K122-M122</f>
        <v>0</v>
      </c>
      <c r="O122" s="12"/>
    </row>
    <row r="123" spans="1:15" x14ac:dyDescent="0.25">
      <c r="A123" s="2">
        <f>+A122+31</f>
        <v>42613</v>
      </c>
      <c r="B123" s="9">
        <f>+K122</f>
        <v>1009.86</v>
      </c>
      <c r="C123" s="9"/>
      <c r="D123" s="9"/>
      <c r="E123" s="9"/>
      <c r="F123" s="9"/>
      <c r="G123" s="9"/>
      <c r="H123" s="9"/>
      <c r="I123" s="9"/>
      <c r="J123" s="9"/>
      <c r="K123" s="9">
        <f t="shared" si="33"/>
        <v>1009.86</v>
      </c>
      <c r="M123" s="3">
        <v>1009.86</v>
      </c>
      <c r="N123" s="9">
        <f t="shared" si="34"/>
        <v>0</v>
      </c>
      <c r="O123" s="12"/>
    </row>
    <row r="124" spans="1:15" x14ac:dyDescent="0.25">
      <c r="A124" s="2">
        <f>+A123+30</f>
        <v>42643</v>
      </c>
      <c r="B124" s="9">
        <f t="shared" ref="B124:B133" si="35">+K123</f>
        <v>1009.86</v>
      </c>
      <c r="C124" s="9"/>
      <c r="D124" s="9"/>
      <c r="E124" s="9"/>
      <c r="F124" s="9"/>
      <c r="G124" s="9"/>
      <c r="H124" s="9"/>
      <c r="I124" s="9"/>
      <c r="J124" s="9"/>
      <c r="K124" s="9">
        <f t="shared" si="33"/>
        <v>1009.86</v>
      </c>
      <c r="M124" s="3">
        <v>1009.86</v>
      </c>
      <c r="N124" s="9">
        <f t="shared" si="34"/>
        <v>0</v>
      </c>
      <c r="O124" s="12"/>
    </row>
    <row r="125" spans="1:15" x14ac:dyDescent="0.25">
      <c r="A125" s="2">
        <f t="shared" ref="A125:A132" si="36">+A124+31</f>
        <v>42674</v>
      </c>
      <c r="B125" s="9">
        <f t="shared" si="35"/>
        <v>1009.86</v>
      </c>
      <c r="C125" s="9"/>
      <c r="D125" s="9"/>
      <c r="E125" s="9"/>
      <c r="F125" s="9"/>
      <c r="G125" s="9"/>
      <c r="H125" s="9"/>
      <c r="I125" s="9"/>
      <c r="J125" s="9"/>
      <c r="K125" s="9">
        <f t="shared" si="33"/>
        <v>1009.86</v>
      </c>
      <c r="M125" s="3">
        <v>1009.86</v>
      </c>
      <c r="N125" s="9">
        <f t="shared" si="34"/>
        <v>0</v>
      </c>
      <c r="O125" s="12"/>
    </row>
    <row r="126" spans="1:15" x14ac:dyDescent="0.25">
      <c r="A126" s="2">
        <f>+A125+30</f>
        <v>42704</v>
      </c>
      <c r="B126" s="9">
        <f t="shared" si="35"/>
        <v>1009.86</v>
      </c>
      <c r="C126" s="9"/>
      <c r="D126" s="9"/>
      <c r="E126" s="9"/>
      <c r="F126" s="9"/>
      <c r="G126" s="9"/>
      <c r="H126" s="9"/>
      <c r="I126" s="9"/>
      <c r="J126" s="9"/>
      <c r="K126" s="9">
        <f t="shared" si="33"/>
        <v>1009.86</v>
      </c>
      <c r="M126" s="3">
        <v>1009.86</v>
      </c>
      <c r="N126" s="9">
        <f t="shared" si="34"/>
        <v>0</v>
      </c>
      <c r="O126" s="12"/>
    </row>
    <row r="127" spans="1:15" x14ac:dyDescent="0.25">
      <c r="A127" s="2">
        <f t="shared" si="36"/>
        <v>42735</v>
      </c>
      <c r="B127" s="9">
        <f t="shared" si="35"/>
        <v>1009.86</v>
      </c>
      <c r="C127" s="9"/>
      <c r="D127" s="9"/>
      <c r="E127" s="9"/>
      <c r="F127" s="9"/>
      <c r="G127" s="9"/>
      <c r="H127" s="9"/>
      <c r="I127" s="9"/>
      <c r="J127" s="9"/>
      <c r="K127" s="9">
        <f t="shared" si="33"/>
        <v>1009.86</v>
      </c>
      <c r="M127" s="3">
        <v>1009.86</v>
      </c>
      <c r="N127" s="9">
        <f t="shared" si="34"/>
        <v>0</v>
      </c>
      <c r="O127" s="12"/>
    </row>
    <row r="128" spans="1:15" x14ac:dyDescent="0.25">
      <c r="A128" s="2">
        <f t="shared" si="36"/>
        <v>42766</v>
      </c>
      <c r="B128" s="9">
        <f t="shared" si="35"/>
        <v>1009.86</v>
      </c>
      <c r="C128" s="9"/>
      <c r="D128" s="9"/>
      <c r="E128" s="9"/>
      <c r="F128" s="9"/>
      <c r="G128" s="9"/>
      <c r="H128" s="9"/>
      <c r="I128" s="9"/>
      <c r="J128" s="9"/>
      <c r="K128" s="9">
        <f t="shared" si="33"/>
        <v>1009.86</v>
      </c>
      <c r="M128" s="3">
        <v>1009.86</v>
      </c>
      <c r="N128" s="9">
        <f t="shared" si="34"/>
        <v>0</v>
      </c>
      <c r="O128" s="12"/>
    </row>
    <row r="129" spans="1:15" x14ac:dyDescent="0.25">
      <c r="A129" s="2">
        <f>+A128+28</f>
        <v>42794</v>
      </c>
      <c r="B129" s="9">
        <f t="shared" si="35"/>
        <v>1009.86</v>
      </c>
      <c r="C129" s="9"/>
      <c r="D129" s="9"/>
      <c r="E129" s="9"/>
      <c r="F129" s="9"/>
      <c r="G129" s="9"/>
      <c r="H129" s="9"/>
      <c r="I129" s="9"/>
      <c r="J129" s="9"/>
      <c r="K129" s="9">
        <f t="shared" si="33"/>
        <v>1009.86</v>
      </c>
      <c r="M129" s="3">
        <v>1009.86</v>
      </c>
      <c r="N129" s="9">
        <f t="shared" si="34"/>
        <v>0</v>
      </c>
      <c r="O129" s="12"/>
    </row>
    <row r="130" spans="1:15" x14ac:dyDescent="0.25">
      <c r="A130" s="2">
        <f t="shared" si="36"/>
        <v>42825</v>
      </c>
      <c r="B130" s="9">
        <f t="shared" si="35"/>
        <v>1009.86</v>
      </c>
      <c r="C130" s="9"/>
      <c r="D130" s="9"/>
      <c r="E130" s="9"/>
      <c r="F130" s="9"/>
      <c r="G130" s="9"/>
      <c r="H130" s="9"/>
      <c r="I130" s="9"/>
      <c r="J130" s="9"/>
      <c r="K130" s="9">
        <f t="shared" si="33"/>
        <v>1009.86</v>
      </c>
      <c r="M130" s="3">
        <v>1009.86</v>
      </c>
      <c r="N130" s="9">
        <f t="shared" si="34"/>
        <v>0</v>
      </c>
      <c r="O130" s="12"/>
    </row>
    <row r="131" spans="1:15" x14ac:dyDescent="0.25">
      <c r="A131" s="2">
        <f>+A130+30</f>
        <v>42855</v>
      </c>
      <c r="B131" s="9">
        <f t="shared" si="35"/>
        <v>1009.86</v>
      </c>
      <c r="C131" s="9"/>
      <c r="D131" s="9"/>
      <c r="E131" s="9"/>
      <c r="F131" s="9"/>
      <c r="G131" s="9"/>
      <c r="H131" s="9"/>
      <c r="I131" s="9"/>
      <c r="J131" s="9"/>
      <c r="K131" s="9">
        <f t="shared" si="33"/>
        <v>1009.86</v>
      </c>
      <c r="M131" s="3">
        <v>1009.86</v>
      </c>
      <c r="N131" s="9">
        <f t="shared" si="34"/>
        <v>0</v>
      </c>
      <c r="O131" s="12"/>
    </row>
    <row r="132" spans="1:15" x14ac:dyDescent="0.25">
      <c r="A132" s="2">
        <f t="shared" si="36"/>
        <v>42886</v>
      </c>
      <c r="B132" s="9">
        <f t="shared" si="35"/>
        <v>1009.86</v>
      </c>
      <c r="C132" s="9"/>
      <c r="D132" s="9"/>
      <c r="E132" s="9"/>
      <c r="F132" s="9"/>
      <c r="G132" s="9"/>
      <c r="H132" s="9"/>
      <c r="I132" s="9"/>
      <c r="J132" s="9"/>
      <c r="K132" s="9">
        <f t="shared" si="33"/>
        <v>1009.86</v>
      </c>
      <c r="M132" s="3">
        <v>1009.86</v>
      </c>
      <c r="N132" s="9">
        <f>+K132-M132</f>
        <v>0</v>
      </c>
      <c r="O132" s="12"/>
    </row>
    <row r="133" spans="1:15" x14ac:dyDescent="0.25">
      <c r="A133" s="2">
        <f>+A132+30</f>
        <v>42916</v>
      </c>
      <c r="B133" s="9">
        <f t="shared" si="35"/>
        <v>1009.86</v>
      </c>
      <c r="C133" s="9"/>
      <c r="D133" s="9"/>
      <c r="E133" s="9"/>
      <c r="F133" s="9"/>
      <c r="G133" s="9"/>
      <c r="H133" s="9"/>
      <c r="I133" s="9"/>
      <c r="J133" s="9"/>
      <c r="K133" s="9">
        <f t="shared" si="33"/>
        <v>1009.86</v>
      </c>
      <c r="M133" s="3">
        <v>1009.86</v>
      </c>
      <c r="N133" s="16">
        <f>+K133-M133</f>
        <v>0</v>
      </c>
      <c r="O133" s="12"/>
    </row>
    <row r="134" spans="1:15" x14ac:dyDescent="0.25">
      <c r="B134" s="3"/>
      <c r="C134" s="9"/>
      <c r="D134" s="9"/>
      <c r="E134" s="9"/>
      <c r="F134" s="9"/>
      <c r="G134" s="9"/>
      <c r="H134" s="9"/>
      <c r="I134" s="9"/>
      <c r="J134" s="9"/>
      <c r="K134" s="9"/>
      <c r="O134" s="12"/>
    </row>
    <row r="135" spans="1:15" ht="15.75" thickBot="1" x14ac:dyDescent="0.3">
      <c r="A135" t="s">
        <v>16</v>
      </c>
      <c r="B135" s="3">
        <f>+B122</f>
        <v>1009.86</v>
      </c>
      <c r="C135" s="18">
        <f>SUM(C122:C133)</f>
        <v>0</v>
      </c>
      <c r="D135" s="18">
        <f t="shared" ref="D135:J135" si="37">SUM(D122:D133)</f>
        <v>0</v>
      </c>
      <c r="E135" s="18">
        <f t="shared" si="37"/>
        <v>0</v>
      </c>
      <c r="F135" s="18">
        <f t="shared" si="37"/>
        <v>0</v>
      </c>
      <c r="G135" s="18">
        <f t="shared" si="37"/>
        <v>0</v>
      </c>
      <c r="H135" s="18">
        <f t="shared" si="37"/>
        <v>0</v>
      </c>
      <c r="I135" s="18">
        <f t="shared" si="37"/>
        <v>0</v>
      </c>
      <c r="J135" s="18">
        <f t="shared" si="37"/>
        <v>0</v>
      </c>
      <c r="K135" s="18">
        <f>SUM(B135:J135)</f>
        <v>1009.86</v>
      </c>
      <c r="N135" s="5"/>
      <c r="O135" s="12"/>
    </row>
    <row r="136" spans="1:15" ht="15.75" thickTop="1" x14ac:dyDescent="0.25">
      <c r="O136" s="12"/>
    </row>
    <row r="138" spans="1:15" x14ac:dyDescent="0.25">
      <c r="A138" t="s">
        <v>56</v>
      </c>
    </row>
    <row r="139" spans="1:15" x14ac:dyDescent="0.25">
      <c r="B139" t="s">
        <v>57</v>
      </c>
      <c r="C139" t="s">
        <v>9</v>
      </c>
      <c r="D139" s="46">
        <v>11775.94</v>
      </c>
    </row>
    <row r="145" spans="1:10" x14ac:dyDescent="0.25">
      <c r="A145" s="12"/>
    </row>
    <row r="147" spans="1:10" x14ac:dyDescent="0.25">
      <c r="H147" s="7"/>
      <c r="I147" s="7"/>
    </row>
    <row r="148" spans="1:10" x14ac:dyDescent="0.25">
      <c r="H148" s="9"/>
      <c r="I148" s="9"/>
      <c r="J148" s="9"/>
    </row>
    <row r="149" spans="1:10" x14ac:dyDescent="0.25">
      <c r="H149" s="9"/>
      <c r="I149" s="9"/>
      <c r="J149" s="9"/>
    </row>
    <row r="150" spans="1:10" x14ac:dyDescent="0.25">
      <c r="H150" s="9"/>
      <c r="I150" s="9"/>
      <c r="J150" s="9"/>
    </row>
    <row r="151" spans="1:10" x14ac:dyDescent="0.25">
      <c r="H151" s="9"/>
      <c r="I151" s="9"/>
      <c r="J151" s="9"/>
    </row>
    <row r="152" spans="1:10" x14ac:dyDescent="0.25">
      <c r="H152" s="9"/>
      <c r="I152" s="9"/>
      <c r="J152" s="9"/>
    </row>
    <row r="153" spans="1:10" x14ac:dyDescent="0.25">
      <c r="H153" s="9"/>
      <c r="I153" s="9"/>
      <c r="J153" s="9"/>
    </row>
    <row r="154" spans="1:10" x14ac:dyDescent="0.25">
      <c r="H154" s="9"/>
      <c r="I154" s="9"/>
      <c r="J154" s="9"/>
    </row>
    <row r="155" spans="1:10" x14ac:dyDescent="0.25">
      <c r="H155" s="9"/>
      <c r="I155" s="9"/>
      <c r="J155" s="9"/>
    </row>
    <row r="156" spans="1:10" x14ac:dyDescent="0.25">
      <c r="H156" s="9"/>
      <c r="I156" s="9"/>
      <c r="J156" s="9"/>
    </row>
    <row r="157" spans="1:10" x14ac:dyDescent="0.25">
      <c r="H157" s="9"/>
      <c r="I157" s="9"/>
      <c r="J157" s="9"/>
    </row>
    <row r="158" spans="1:10" x14ac:dyDescent="0.25">
      <c r="H158" s="9"/>
      <c r="I158" s="9"/>
      <c r="J158" s="9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2:V129"/>
  <sheetViews>
    <sheetView topLeftCell="C1" zoomScale="90" zoomScaleNormal="90" workbookViewId="0">
      <pane ySplit="3" topLeftCell="A18" activePane="bottomLeft" state="frozen"/>
      <selection activeCell="O26" sqref="O26:P26"/>
      <selection pane="bottomLeft" activeCell="R40" sqref="R40"/>
    </sheetView>
  </sheetViews>
  <sheetFormatPr defaultColWidth="9.140625" defaultRowHeight="15" x14ac:dyDescent="0.25"/>
  <cols>
    <col min="1" max="1" width="18.140625" bestFit="1" customWidth="1"/>
    <col min="2" max="2" width="15.85546875" bestFit="1" customWidth="1"/>
    <col min="3" max="3" width="16.42578125" bestFit="1" customWidth="1"/>
    <col min="4" max="5" width="17.140625" bestFit="1" customWidth="1"/>
    <col min="6" max="6" width="12" bestFit="1" customWidth="1"/>
    <col min="7" max="7" width="15" bestFit="1" customWidth="1"/>
    <col min="8" max="8" width="13" bestFit="1" customWidth="1"/>
    <col min="9" max="9" width="16.42578125" bestFit="1" customWidth="1"/>
    <col min="10" max="10" width="12.140625" bestFit="1" customWidth="1"/>
    <col min="11" max="11" width="19.140625" bestFit="1" customWidth="1"/>
    <col min="12" max="12" width="2.5703125" customWidth="1"/>
    <col min="13" max="13" width="22.42578125" bestFit="1" customWidth="1"/>
    <col min="14" max="14" width="16.28515625" bestFit="1" customWidth="1"/>
    <col min="15" max="15" width="16.28515625" hidden="1" customWidth="1"/>
    <col min="16" max="16" width="11.28515625" bestFit="1" customWidth="1"/>
    <col min="17" max="17" width="7.42578125" bestFit="1" customWidth="1"/>
    <col min="18" max="18" width="32.140625" bestFit="1" customWidth="1"/>
    <col min="19" max="19" width="23.140625" bestFit="1" customWidth="1"/>
    <col min="20" max="20" width="12" bestFit="1" customWidth="1"/>
    <col min="21" max="22" width="14.140625" bestFit="1" customWidth="1"/>
  </cols>
  <sheetData>
    <row r="2" spans="1:22" ht="15.75" x14ac:dyDescent="0.25">
      <c r="A2" s="22" t="s">
        <v>0</v>
      </c>
    </row>
    <row r="3" spans="1:22" ht="15.75" x14ac:dyDescent="0.25">
      <c r="A3" s="22"/>
    </row>
    <row r="4" spans="1:22" ht="18.75" x14ac:dyDescent="0.25">
      <c r="A4" s="23">
        <v>2023</v>
      </c>
      <c r="T4" s="5"/>
    </row>
    <row r="5" spans="1:22" x14ac:dyDescent="0.25">
      <c r="A5" s="33" t="s">
        <v>48</v>
      </c>
      <c r="D5" s="5"/>
      <c r="M5" s="32" t="s">
        <v>50</v>
      </c>
    </row>
    <row r="6" spans="1:22" s="21" customFormat="1" x14ac:dyDescent="0.25">
      <c r="C6" s="21" t="s">
        <v>19</v>
      </c>
      <c r="D6" s="21" t="s">
        <v>20</v>
      </c>
      <c r="E6" s="21" t="s">
        <v>19</v>
      </c>
      <c r="F6" s="21" t="s">
        <v>19</v>
      </c>
      <c r="G6" s="21" t="s">
        <v>20</v>
      </c>
      <c r="H6" s="21" t="s">
        <v>20</v>
      </c>
      <c r="I6" s="21" t="s">
        <v>21</v>
      </c>
      <c r="J6" s="21" t="s">
        <v>20</v>
      </c>
      <c r="K6" s="21" t="s">
        <v>10</v>
      </c>
      <c r="M6" s="21" t="s">
        <v>9</v>
      </c>
      <c r="S6"/>
    </row>
    <row r="7" spans="1:22" x14ac:dyDescent="0.25">
      <c r="B7" s="4" t="s">
        <v>1</v>
      </c>
      <c r="C7" s="4" t="s">
        <v>2</v>
      </c>
      <c r="D7" s="4" t="s">
        <v>3</v>
      </c>
      <c r="E7" s="4" t="s">
        <v>12</v>
      </c>
      <c r="F7" s="4" t="s">
        <v>4</v>
      </c>
      <c r="G7" s="4" t="s">
        <v>5</v>
      </c>
      <c r="H7" s="4" t="s">
        <v>13</v>
      </c>
      <c r="I7" s="4" t="s">
        <v>6</v>
      </c>
      <c r="J7" s="4" t="s">
        <v>7</v>
      </c>
      <c r="K7" s="4" t="s">
        <v>8</v>
      </c>
      <c r="M7" s="6" t="s">
        <v>8</v>
      </c>
      <c r="N7" s="6" t="s">
        <v>14</v>
      </c>
      <c r="O7" s="7"/>
      <c r="P7" s="7"/>
    </row>
    <row r="8" spans="1:22" x14ac:dyDescent="0.25">
      <c r="A8" s="2">
        <v>44773</v>
      </c>
      <c r="B8" s="9">
        <v>0</v>
      </c>
      <c r="C8" s="9">
        <v>8839297.7899999991</v>
      </c>
      <c r="D8" s="9">
        <v>-6611346.7599999998</v>
      </c>
      <c r="E8" s="9">
        <v>7242.89</v>
      </c>
      <c r="F8" s="9"/>
      <c r="G8" s="9"/>
      <c r="H8" s="9"/>
      <c r="I8" s="9"/>
      <c r="J8" s="9"/>
      <c r="K8" s="9">
        <f>SUM(B8:J8)</f>
        <v>2235193.9199999995</v>
      </c>
      <c r="M8" s="9">
        <v>-5984460.3399999999</v>
      </c>
      <c r="N8" s="9">
        <f>+K8-M8</f>
        <v>8219654.2599999998</v>
      </c>
      <c r="O8" s="9"/>
      <c r="P8" s="5" t="s">
        <v>51</v>
      </c>
      <c r="U8" s="5"/>
      <c r="V8" s="5"/>
    </row>
    <row r="9" spans="1:22" x14ac:dyDescent="0.25">
      <c r="A9" s="2">
        <f>+A8+31</f>
        <v>44804</v>
      </c>
      <c r="B9" s="9">
        <f>+K8</f>
        <v>2235193.9199999995</v>
      </c>
      <c r="C9" s="9"/>
      <c r="D9" s="9">
        <v>-1882677.61</v>
      </c>
      <c r="E9" s="9">
        <v>9952.5400000000009</v>
      </c>
      <c r="F9" s="9"/>
      <c r="G9" s="9"/>
      <c r="H9" s="9"/>
      <c r="I9" s="9"/>
      <c r="J9" s="9"/>
      <c r="K9" s="9">
        <f t="shared" ref="K9:K19" si="0">SUM(B9:J9)</f>
        <v>362468.84999999934</v>
      </c>
      <c r="M9" s="9">
        <f>-2492368.6+M8</f>
        <v>-8476828.9399999995</v>
      </c>
      <c r="N9" s="9">
        <f>+K9-M9</f>
        <v>8839297.7899999991</v>
      </c>
      <c r="O9" s="9">
        <f>+N8-N9</f>
        <v>-619643.52999999933</v>
      </c>
      <c r="S9" s="3"/>
      <c r="U9" s="5"/>
      <c r="V9" s="5"/>
    </row>
    <row r="10" spans="1:22" x14ac:dyDescent="0.25">
      <c r="A10" s="2">
        <f>+A9+30</f>
        <v>44834</v>
      </c>
      <c r="B10" s="9">
        <f t="shared" ref="B10:B19" si="1">+K9</f>
        <v>362468.84999999934</v>
      </c>
      <c r="C10" s="9"/>
      <c r="D10" s="9">
        <v>-473163.58</v>
      </c>
      <c r="E10" s="9"/>
      <c r="F10" s="9"/>
      <c r="G10" s="9"/>
      <c r="H10" s="9"/>
      <c r="I10" s="9"/>
      <c r="J10" s="9"/>
      <c r="K10" s="9">
        <f t="shared" si="0"/>
        <v>-110694.73000000068</v>
      </c>
      <c r="M10" s="9">
        <f>-385456.48+M9</f>
        <v>-8862285.4199999999</v>
      </c>
      <c r="N10" s="9">
        <f t="shared" ref="N10:N13" si="2">+K10-M10</f>
        <v>8751590.6899999995</v>
      </c>
      <c r="O10" s="9">
        <f>+N9-N10</f>
        <v>87707.099999999627</v>
      </c>
      <c r="R10" t="s">
        <v>94</v>
      </c>
      <c r="S10" s="3">
        <v>-345.77</v>
      </c>
      <c r="U10" s="5"/>
      <c r="V10" s="5"/>
    </row>
    <row r="11" spans="1:22" x14ac:dyDescent="0.25">
      <c r="A11" s="2">
        <f t="shared" ref="A11:A18" si="3">+A10+31</f>
        <v>44865</v>
      </c>
      <c r="B11" s="9">
        <f t="shared" si="1"/>
        <v>-110694.73000000068</v>
      </c>
      <c r="C11" s="9">
        <v>8837763.4199999999</v>
      </c>
      <c r="D11" s="9">
        <v>-3378829.45</v>
      </c>
      <c r="E11" s="9">
        <v>3274.25</v>
      </c>
      <c r="F11" s="9"/>
      <c r="G11" s="9"/>
      <c r="H11" s="9"/>
      <c r="I11" s="9"/>
      <c r="J11" s="9"/>
      <c r="K11" s="9">
        <f t="shared" si="0"/>
        <v>5351513.4899999993</v>
      </c>
      <c r="M11" s="9">
        <f>-3140120.42+M10</f>
        <v>-12002405.84</v>
      </c>
      <c r="N11" s="9">
        <f t="shared" si="2"/>
        <v>17353919.329999998</v>
      </c>
      <c r="O11" s="9">
        <f t="shared" ref="O11:O17" si="4">+N10-N11</f>
        <v>-8602328.6399999987</v>
      </c>
      <c r="R11" t="s">
        <v>95</v>
      </c>
      <c r="S11" s="3">
        <v>-48927.839999999997</v>
      </c>
      <c r="U11" s="5"/>
      <c r="V11" s="5"/>
    </row>
    <row r="12" spans="1:22" x14ac:dyDescent="0.25">
      <c r="A12" s="2">
        <f>+A11+30</f>
        <v>44895</v>
      </c>
      <c r="B12" s="9">
        <f t="shared" si="1"/>
        <v>5351513.4899999993</v>
      </c>
      <c r="C12" s="9"/>
      <c r="D12" s="9">
        <v>-4864079.38</v>
      </c>
      <c r="E12" s="9"/>
      <c r="F12" s="9"/>
      <c r="G12" s="9"/>
      <c r="H12" s="9"/>
      <c r="I12" s="9"/>
      <c r="J12" s="9"/>
      <c r="K12" s="9">
        <f t="shared" si="0"/>
        <v>487434.1099999994</v>
      </c>
      <c r="M12" s="9">
        <f>-5059343.55+M11</f>
        <v>-17061749.390000001</v>
      </c>
      <c r="N12" s="9">
        <f t="shared" si="2"/>
        <v>17549183.5</v>
      </c>
      <c r="O12" s="9">
        <f t="shared" si="4"/>
        <v>-195264.17000000179</v>
      </c>
      <c r="R12" t="s">
        <v>96</v>
      </c>
      <c r="S12" s="3">
        <v>2486.7600000000002</v>
      </c>
      <c r="T12" t="s">
        <v>190</v>
      </c>
      <c r="U12" s="5"/>
      <c r="V12" s="5"/>
    </row>
    <row r="13" spans="1:22" x14ac:dyDescent="0.25">
      <c r="A13" s="2">
        <f t="shared" si="3"/>
        <v>44926</v>
      </c>
      <c r="B13" s="9">
        <f t="shared" si="1"/>
        <v>487434.1099999994</v>
      </c>
      <c r="C13" s="9"/>
      <c r="D13" s="9">
        <v>-138597.19</v>
      </c>
      <c r="E13" s="9"/>
      <c r="F13" s="9"/>
      <c r="G13" s="9"/>
      <c r="H13" s="9"/>
      <c r="I13" s="9"/>
      <c r="J13" s="9"/>
      <c r="K13" s="9">
        <f t="shared" si="0"/>
        <v>348836.9199999994</v>
      </c>
      <c r="M13" s="9">
        <f>+M12+35419011.37</f>
        <v>18357261.979999997</v>
      </c>
      <c r="N13" s="9">
        <f t="shared" si="2"/>
        <v>-18008425.059999999</v>
      </c>
      <c r="O13" s="9">
        <f t="shared" si="4"/>
        <v>35557608.560000002</v>
      </c>
      <c r="R13" t="s">
        <v>97</v>
      </c>
      <c r="S13" s="3">
        <v>-4723.6000000000004</v>
      </c>
      <c r="T13" t="s">
        <v>100</v>
      </c>
      <c r="U13" s="5"/>
      <c r="V13" s="5"/>
    </row>
    <row r="14" spans="1:22" x14ac:dyDescent="0.25">
      <c r="A14" s="2">
        <f t="shared" si="3"/>
        <v>44957</v>
      </c>
      <c r="B14" s="9">
        <f t="shared" si="1"/>
        <v>348836.9199999994</v>
      </c>
      <c r="C14" s="9">
        <v>8983560.2599999998</v>
      </c>
      <c r="D14" s="9">
        <v>-7380397.21</v>
      </c>
      <c r="E14" s="9">
        <v>10006.18</v>
      </c>
      <c r="F14" s="9"/>
      <c r="G14" s="9"/>
      <c r="H14" s="9">
        <v>-6383.53</v>
      </c>
      <c r="I14" s="49">
        <f>-185811.36+137328.25</f>
        <v>-48483.109999999986</v>
      </c>
      <c r="J14" s="9"/>
      <c r="K14" s="9">
        <f t="shared" si="0"/>
        <v>1907139.5099999998</v>
      </c>
      <c r="M14" s="9">
        <f>+M13-4159359.82</f>
        <v>14197902.159999996</v>
      </c>
      <c r="N14" s="9">
        <f>+K14-M14</f>
        <v>-12290762.649999997</v>
      </c>
      <c r="O14" s="9">
        <f t="shared" si="4"/>
        <v>-5717662.410000002</v>
      </c>
      <c r="P14" s="5"/>
      <c r="R14" t="s">
        <v>99</v>
      </c>
      <c r="S14" s="3">
        <v>4761.96</v>
      </c>
      <c r="T14" t="s">
        <v>101</v>
      </c>
      <c r="U14" s="5"/>
      <c r="V14" s="5"/>
    </row>
    <row r="15" spans="1:22" x14ac:dyDescent="0.25">
      <c r="A15" s="2">
        <f>+A14+28</f>
        <v>44985</v>
      </c>
      <c r="B15" s="9">
        <f t="shared" si="1"/>
        <v>1907139.5099999998</v>
      </c>
      <c r="C15" s="9"/>
      <c r="D15" s="9">
        <v>-1429134.33</v>
      </c>
      <c r="E15" s="9">
        <v>10561.01</v>
      </c>
      <c r="F15" s="9"/>
      <c r="G15" s="9"/>
      <c r="H15" s="50">
        <v>-15579.05</v>
      </c>
      <c r="I15" s="49">
        <f>-45690.08+45685.28-10.41</f>
        <v>-15.210000000002911</v>
      </c>
      <c r="J15" s="9"/>
      <c r="K15" s="9">
        <f t="shared" si="0"/>
        <v>472971.9299999997</v>
      </c>
      <c r="M15" s="9">
        <f>+M14-4646737.62</f>
        <v>9551164.5399999954</v>
      </c>
      <c r="N15" s="9">
        <f t="shared" ref="N15:N18" si="5">+K15-M15</f>
        <v>-9078192.6099999957</v>
      </c>
      <c r="O15" s="9">
        <f t="shared" si="4"/>
        <v>-3212570.040000001</v>
      </c>
      <c r="P15" s="5"/>
      <c r="R15" t="s">
        <v>98</v>
      </c>
      <c r="S15" s="3">
        <v>-13826.46</v>
      </c>
      <c r="T15" t="s">
        <v>100</v>
      </c>
      <c r="U15" s="5"/>
      <c r="V15" s="5"/>
    </row>
    <row r="16" spans="1:22" x14ac:dyDescent="0.25">
      <c r="A16" s="2">
        <f t="shared" si="3"/>
        <v>45016</v>
      </c>
      <c r="B16" s="9">
        <f t="shared" si="1"/>
        <v>472971.9299999997</v>
      </c>
      <c r="C16" s="9"/>
      <c r="D16" s="9">
        <v>-198555.77</v>
      </c>
      <c r="E16" s="9">
        <v>15291.29</v>
      </c>
      <c r="F16" s="9">
        <v>5408.29</v>
      </c>
      <c r="G16" s="9">
        <v>-50662.86</v>
      </c>
      <c r="H16" s="9">
        <v>-800</v>
      </c>
      <c r="I16" s="49"/>
      <c r="J16" s="9"/>
      <c r="K16" s="9">
        <f t="shared" si="0"/>
        <v>243652.87999999966</v>
      </c>
      <c r="M16" s="9">
        <f>+M15-211506.17</f>
        <v>9339658.3699999955</v>
      </c>
      <c r="N16" s="9">
        <f t="shared" si="5"/>
        <v>-9096005.4899999965</v>
      </c>
      <c r="O16" s="9">
        <f t="shared" si="4"/>
        <v>17812.88000000082</v>
      </c>
      <c r="P16" s="5"/>
      <c r="U16" s="5"/>
      <c r="V16" s="5"/>
    </row>
    <row r="17" spans="1:22" x14ac:dyDescent="0.25">
      <c r="A17" s="2">
        <f>+A16+30</f>
        <v>45046</v>
      </c>
      <c r="B17" s="9">
        <f t="shared" si="1"/>
        <v>243652.87999999966</v>
      </c>
      <c r="C17" s="9">
        <v>9022923.9399999995</v>
      </c>
      <c r="D17" s="9">
        <v>-6613992.6799999997</v>
      </c>
      <c r="E17" s="9">
        <v>10923.68</v>
      </c>
      <c r="F17" s="9"/>
      <c r="G17" s="9"/>
      <c r="H17" s="9"/>
      <c r="I17" s="49">
        <v>-422.02</v>
      </c>
      <c r="J17" s="9"/>
      <c r="K17" s="9">
        <f t="shared" si="0"/>
        <v>2663085.7999999989</v>
      </c>
      <c r="M17" s="9">
        <f>+M16-6581649.24</f>
        <v>2758009.1299999952</v>
      </c>
      <c r="N17" s="9">
        <f t="shared" si="5"/>
        <v>-94923.329999996349</v>
      </c>
      <c r="O17" s="9">
        <f t="shared" si="4"/>
        <v>-9001082.1600000001</v>
      </c>
      <c r="P17" s="5"/>
      <c r="Q17" s="5"/>
      <c r="S17" s="3"/>
      <c r="U17" s="5"/>
      <c r="V17" s="5"/>
    </row>
    <row r="18" spans="1:22" x14ac:dyDescent="0.25">
      <c r="A18" s="2">
        <f t="shared" si="3"/>
        <v>45077</v>
      </c>
      <c r="B18" s="9">
        <f t="shared" si="1"/>
        <v>2663085.7999999989</v>
      </c>
      <c r="C18" s="9"/>
      <c r="D18" s="9">
        <v>-2058177.49</v>
      </c>
      <c r="E18" s="9">
        <v>3487.08</v>
      </c>
      <c r="F18" s="25"/>
      <c r="G18" s="9"/>
      <c r="H18" s="9">
        <v>-740</v>
      </c>
      <c r="I18" s="49">
        <v>-7.58</v>
      </c>
      <c r="J18" s="9"/>
      <c r="K18" s="9">
        <f t="shared" si="0"/>
        <v>607647.80999999889</v>
      </c>
      <c r="M18" s="9">
        <f>+M17-2086563.9</f>
        <v>671445.22999999532</v>
      </c>
      <c r="N18" s="9">
        <f t="shared" si="5"/>
        <v>-63797.419999996433</v>
      </c>
      <c r="O18" s="9"/>
      <c r="P18" s="5"/>
      <c r="Q18" s="5"/>
    </row>
    <row r="19" spans="1:22" ht="15.75" thickBot="1" x14ac:dyDescent="0.3">
      <c r="A19" s="2">
        <f>+A18+30</f>
        <v>45107</v>
      </c>
      <c r="B19" s="9">
        <f t="shared" si="1"/>
        <v>607647.80999999889</v>
      </c>
      <c r="C19" s="9"/>
      <c r="D19" s="9">
        <v>-293819.01</v>
      </c>
      <c r="E19" s="9"/>
      <c r="F19" s="50">
        <v>65035.85</v>
      </c>
      <c r="G19" s="9"/>
      <c r="H19" s="9"/>
      <c r="I19" s="49">
        <f>106.12-106.04</f>
        <v>7.9999999999998295E-2</v>
      </c>
      <c r="J19" s="9"/>
      <c r="K19" s="9">
        <f t="shared" si="0"/>
        <v>378864.72999999888</v>
      </c>
      <c r="M19" s="9">
        <f>+M18-232005.55</f>
        <v>439439.67999999534</v>
      </c>
      <c r="N19" s="9">
        <f>+K19-M19</f>
        <v>-60574.949999996461</v>
      </c>
      <c r="O19" s="9"/>
      <c r="P19" s="5"/>
      <c r="Q19" s="5"/>
      <c r="R19" t="s">
        <v>54</v>
      </c>
      <c r="S19" s="8">
        <f>SUM(S10:S18)</f>
        <v>-60574.94999999999</v>
      </c>
    </row>
    <row r="20" spans="1:22" ht="16.5" thickTop="1" thickBot="1" x14ac:dyDescent="0.3">
      <c r="A20" t="s">
        <v>16</v>
      </c>
      <c r="B20" s="9"/>
      <c r="C20" s="18">
        <f t="shared" ref="C20" si="6">SUM(C8:C19)</f>
        <v>35683545.409999996</v>
      </c>
      <c r="D20" s="18">
        <f t="shared" ref="D20" si="7">SUM(D8:D19)</f>
        <v>-35322770.459999993</v>
      </c>
      <c r="E20" s="18">
        <f t="shared" ref="E20" si="8">SUM(E8:E19)</f>
        <v>70738.92</v>
      </c>
      <c r="F20" s="18">
        <f t="shared" ref="F20" si="9">SUM(F8:F19)</f>
        <v>70444.14</v>
      </c>
      <c r="G20" s="18">
        <f t="shared" ref="G20" si="10">SUM(G8:G19)</f>
        <v>-50662.86</v>
      </c>
      <c r="H20" s="18">
        <f t="shared" ref="H20" si="11">SUM(H8:H19)</f>
        <v>-23502.579999999998</v>
      </c>
      <c r="I20" s="18">
        <f t="shared" ref="I20" si="12">SUM(I8:I19)</f>
        <v>-48927.839999999989</v>
      </c>
      <c r="J20" s="18">
        <f t="shared" ref="J20" si="13">SUM(J8:J19)</f>
        <v>0</v>
      </c>
      <c r="K20" s="18">
        <f>SUM(B20:J20)</f>
        <v>378864.73000000301</v>
      </c>
      <c r="M20" s="27"/>
      <c r="N20" s="9"/>
      <c r="O20" s="9"/>
      <c r="P20" s="9"/>
      <c r="Q20" s="5"/>
      <c r="S20" s="5"/>
    </row>
    <row r="21" spans="1:22" ht="15.75" thickTop="1" x14ac:dyDescent="0.25">
      <c r="O21" s="5"/>
    </row>
    <row r="22" spans="1:22" ht="18.75" x14ac:dyDescent="0.25">
      <c r="A22" s="23">
        <v>2022</v>
      </c>
      <c r="K22">
        <v>73809.11</v>
      </c>
    </row>
    <row r="23" spans="1:22" x14ac:dyDescent="0.25">
      <c r="A23" s="33" t="s">
        <v>44</v>
      </c>
      <c r="D23" s="5"/>
      <c r="K23" s="5">
        <v>6136.41</v>
      </c>
      <c r="M23" s="32" t="s">
        <v>45</v>
      </c>
    </row>
    <row r="24" spans="1:22" s="21" customFormat="1" x14ac:dyDescent="0.25">
      <c r="C24" s="21" t="s">
        <v>19</v>
      </c>
      <c r="D24" s="21" t="s">
        <v>20</v>
      </c>
      <c r="E24" s="21" t="s">
        <v>19</v>
      </c>
      <c r="F24" s="21" t="s">
        <v>19</v>
      </c>
      <c r="G24" s="21" t="s">
        <v>20</v>
      </c>
      <c r="H24" s="21" t="s">
        <v>20</v>
      </c>
      <c r="I24" s="21" t="s">
        <v>21</v>
      </c>
      <c r="J24" s="21" t="s">
        <v>20</v>
      </c>
      <c r="K24" s="21" t="s">
        <v>10</v>
      </c>
      <c r="M24" s="21" t="s">
        <v>9</v>
      </c>
    </row>
    <row r="25" spans="1:22" x14ac:dyDescent="0.25">
      <c r="B25" s="4" t="s">
        <v>1</v>
      </c>
      <c r="C25" s="4" t="s">
        <v>2</v>
      </c>
      <c r="D25" s="4" t="s">
        <v>3</v>
      </c>
      <c r="E25" s="4" t="s">
        <v>12</v>
      </c>
      <c r="F25" s="4" t="s">
        <v>4</v>
      </c>
      <c r="G25" s="4" t="s">
        <v>5</v>
      </c>
      <c r="H25" s="4" t="s">
        <v>13</v>
      </c>
      <c r="I25" s="4" t="s">
        <v>6</v>
      </c>
      <c r="J25" s="4" t="s">
        <v>7</v>
      </c>
      <c r="K25" s="4" t="s">
        <v>8</v>
      </c>
      <c r="M25" s="6" t="s">
        <v>8</v>
      </c>
      <c r="N25" s="6" t="s">
        <v>14</v>
      </c>
      <c r="O25" s="7"/>
      <c r="P25" s="7"/>
      <c r="Q25">
        <v>2022</v>
      </c>
    </row>
    <row r="26" spans="1:22" x14ac:dyDescent="0.25">
      <c r="A26" s="2">
        <v>44773</v>
      </c>
      <c r="B26" s="9">
        <v>608486.38</v>
      </c>
      <c r="C26" s="9"/>
      <c r="D26" s="9">
        <v>-53445.62</v>
      </c>
      <c r="E26" s="9"/>
      <c r="F26" s="9"/>
      <c r="G26" s="9"/>
      <c r="H26" s="9"/>
      <c r="I26" s="9"/>
      <c r="J26" s="9"/>
      <c r="K26" s="9">
        <f>SUM(B26:J26)</f>
        <v>555040.76</v>
      </c>
      <c r="M26" s="9">
        <v>602575.72</v>
      </c>
      <c r="N26" s="9">
        <f>+K26-M26</f>
        <v>-47534.959999999963</v>
      </c>
      <c r="O26" s="9"/>
      <c r="P26" s="5"/>
      <c r="R26" t="s">
        <v>93</v>
      </c>
      <c r="S26" s="3">
        <f>-2044.12/2</f>
        <v>-1022.06</v>
      </c>
      <c r="T26" s="45" t="s">
        <v>53</v>
      </c>
      <c r="U26" s="5"/>
      <c r="V26" s="5"/>
    </row>
    <row r="27" spans="1:22" x14ac:dyDescent="0.25">
      <c r="A27" s="2">
        <f>+A26+31</f>
        <v>44804</v>
      </c>
      <c r="B27" s="9">
        <f>+K26</f>
        <v>555040.76</v>
      </c>
      <c r="C27" s="9"/>
      <c r="D27" s="9">
        <v>-59781.63</v>
      </c>
      <c r="E27" s="9"/>
      <c r="F27" s="9">
        <v>12730.77</v>
      </c>
      <c r="G27" s="9"/>
      <c r="H27" s="9"/>
      <c r="I27" s="49">
        <f>-2.44+3.49</f>
        <v>1.0500000000000003</v>
      </c>
      <c r="J27" s="9"/>
      <c r="K27" s="9">
        <f t="shared" ref="K27:K37" si="14">SUM(B27:J27)</f>
        <v>507990.95</v>
      </c>
      <c r="M27" s="9">
        <f>+M26-94438.87</f>
        <v>508136.85</v>
      </c>
      <c r="N27" s="9">
        <f>+K27-M27</f>
        <v>-145.89999999996508</v>
      </c>
      <c r="O27" s="9">
        <f>+N26-N27</f>
        <v>-47389.06</v>
      </c>
      <c r="R27" t="s">
        <v>58</v>
      </c>
      <c r="S27" s="3">
        <v>875.11</v>
      </c>
      <c r="T27" s="45" t="s">
        <v>53</v>
      </c>
      <c r="U27" s="5"/>
      <c r="V27" s="5"/>
    </row>
    <row r="28" spans="1:22" x14ac:dyDescent="0.25">
      <c r="A28" s="2">
        <f>+A27+30</f>
        <v>44834</v>
      </c>
      <c r="B28" s="9">
        <f t="shared" ref="B28:B37" si="15">+K27</f>
        <v>507990.95</v>
      </c>
      <c r="C28" s="9"/>
      <c r="D28" s="9">
        <v>-160378.28</v>
      </c>
      <c r="E28" s="9"/>
      <c r="F28" s="9"/>
      <c r="G28" s="9"/>
      <c r="H28" s="9"/>
      <c r="I28" s="9"/>
      <c r="J28" s="9"/>
      <c r="K28" s="9">
        <f t="shared" si="14"/>
        <v>347612.67000000004</v>
      </c>
      <c r="M28" s="9">
        <f>+M27-160378.28</f>
        <v>347758.56999999995</v>
      </c>
      <c r="N28" s="9">
        <f t="shared" ref="N28:N36" si="16">+K28-M28</f>
        <v>-145.89999999990687</v>
      </c>
      <c r="O28" s="9">
        <f>+N27-N28</f>
        <v>-5.8207660913467407E-11</v>
      </c>
      <c r="R28" t="s">
        <v>90</v>
      </c>
      <c r="S28" s="3">
        <v>1.05</v>
      </c>
      <c r="U28" s="5"/>
      <c r="V28" s="5"/>
    </row>
    <row r="29" spans="1:22" x14ac:dyDescent="0.25">
      <c r="A29" s="2">
        <f t="shared" ref="A29:A36" si="17">+A28+31</f>
        <v>44865</v>
      </c>
      <c r="B29" s="9">
        <f t="shared" si="15"/>
        <v>347612.67000000004</v>
      </c>
      <c r="C29" s="9">
        <v>42672.49</v>
      </c>
      <c r="D29" s="9">
        <v>-65906.320000000007</v>
      </c>
      <c r="E29" s="9">
        <v>9839.09</v>
      </c>
      <c r="F29" s="9"/>
      <c r="G29" s="9"/>
      <c r="H29" s="9"/>
      <c r="I29" s="9"/>
      <c r="J29" s="9"/>
      <c r="K29" s="9">
        <f t="shared" si="14"/>
        <v>334217.93000000005</v>
      </c>
      <c r="M29" s="9">
        <f>+M28-56067.23</f>
        <v>291691.33999999997</v>
      </c>
      <c r="N29" s="9">
        <f t="shared" si="16"/>
        <v>42526.590000000084</v>
      </c>
      <c r="O29" s="9">
        <f t="shared" ref="O29:O35" si="18">+N28-N29</f>
        <v>-42672.489999999991</v>
      </c>
      <c r="R29" t="s">
        <v>91</v>
      </c>
      <c r="S29" s="3">
        <v>6136.41</v>
      </c>
      <c r="U29" s="5"/>
      <c r="V29" s="5"/>
    </row>
    <row r="30" spans="1:22" x14ac:dyDescent="0.25">
      <c r="A30" s="2">
        <f>+A29+30</f>
        <v>44895</v>
      </c>
      <c r="B30" s="9">
        <f t="shared" si="15"/>
        <v>334217.93000000005</v>
      </c>
      <c r="C30" s="9"/>
      <c r="D30" s="9">
        <f>-27057.24-34883.41</f>
        <v>-61940.650000000009</v>
      </c>
      <c r="E30" s="9"/>
      <c r="F30" s="9">
        <v>4998.26</v>
      </c>
      <c r="G30" s="9"/>
      <c r="H30" s="9"/>
      <c r="I30" s="9"/>
      <c r="J30" s="9"/>
      <c r="K30" s="9">
        <f t="shared" si="14"/>
        <v>277275.54000000004</v>
      </c>
      <c r="M30" s="9">
        <f>+M29-11008.73</f>
        <v>280682.61</v>
      </c>
      <c r="N30" s="9">
        <f t="shared" si="16"/>
        <v>-3407.0699999999488</v>
      </c>
      <c r="O30" s="9">
        <f t="shared" si="18"/>
        <v>45933.660000000033</v>
      </c>
      <c r="R30" t="s">
        <v>92</v>
      </c>
      <c r="S30" s="3">
        <v>-22343.58</v>
      </c>
      <c r="U30" s="5"/>
      <c r="V30" s="5"/>
    </row>
    <row r="31" spans="1:22" x14ac:dyDescent="0.25">
      <c r="A31" s="2">
        <f t="shared" si="17"/>
        <v>44926</v>
      </c>
      <c r="B31" s="9">
        <f t="shared" si="15"/>
        <v>277275.54000000004</v>
      </c>
      <c r="C31" s="9"/>
      <c r="D31" s="9">
        <f>-9478.84-43448.7</f>
        <v>-52927.539999999994</v>
      </c>
      <c r="E31" s="9"/>
      <c r="F31" s="9"/>
      <c r="G31" s="9"/>
      <c r="H31" s="9"/>
      <c r="I31" s="9"/>
      <c r="J31" s="9"/>
      <c r="K31" s="9">
        <f t="shared" si="14"/>
        <v>224348.00000000006</v>
      </c>
      <c r="M31" s="9">
        <f>+M30-62325.12</f>
        <v>218357.49</v>
      </c>
      <c r="N31" s="9">
        <f t="shared" si="16"/>
        <v>5990.5100000000675</v>
      </c>
      <c r="O31" s="9">
        <f t="shared" si="18"/>
        <v>-9397.5800000000163</v>
      </c>
      <c r="S31" s="5"/>
      <c r="U31" s="5"/>
      <c r="V31" s="5"/>
    </row>
    <row r="32" spans="1:22" ht="15.75" thickBot="1" x14ac:dyDescent="0.3">
      <c r="A32" s="2">
        <f t="shared" si="17"/>
        <v>44957</v>
      </c>
      <c r="B32" s="9">
        <f t="shared" si="15"/>
        <v>224348.00000000006</v>
      </c>
      <c r="C32" s="9"/>
      <c r="D32" s="9">
        <v>-3270.4</v>
      </c>
      <c r="E32" s="9"/>
      <c r="F32" s="9"/>
      <c r="G32" s="9"/>
      <c r="H32" s="9"/>
      <c r="I32" s="9"/>
      <c r="J32" s="9"/>
      <c r="K32" s="9">
        <f t="shared" si="14"/>
        <v>221077.60000000006</v>
      </c>
      <c r="M32" s="9">
        <f>+M31-27.66</f>
        <v>218329.83</v>
      </c>
      <c r="N32" s="9">
        <f>+K32-M32</f>
        <v>2747.7700000000768</v>
      </c>
      <c r="O32" s="9">
        <f t="shared" si="18"/>
        <v>3242.7399999999907</v>
      </c>
      <c r="R32" t="s">
        <v>54</v>
      </c>
      <c r="S32" s="8">
        <f>SUM(S26:S31)</f>
        <v>-16353.070000000002</v>
      </c>
      <c r="U32" s="5"/>
      <c r="V32" s="5"/>
    </row>
    <row r="33" spans="1:22" ht="15.75" thickTop="1" x14ac:dyDescent="0.25">
      <c r="A33" s="2">
        <f>+A32+28</f>
        <v>44985</v>
      </c>
      <c r="B33" s="9">
        <f t="shared" si="15"/>
        <v>221077.60000000006</v>
      </c>
      <c r="C33" s="9"/>
      <c r="D33" s="9">
        <v>-35802.71</v>
      </c>
      <c r="E33" s="9"/>
      <c r="F33" s="9"/>
      <c r="G33" s="9"/>
      <c r="H33" s="9"/>
      <c r="I33" s="9"/>
      <c r="J33" s="9"/>
      <c r="K33" s="9">
        <f t="shared" si="14"/>
        <v>185274.89000000007</v>
      </c>
      <c r="M33" s="9">
        <f>+M32-39045.45</f>
        <v>179284.38</v>
      </c>
      <c r="N33" s="9">
        <f t="shared" si="16"/>
        <v>5990.5100000000675</v>
      </c>
      <c r="O33" s="9">
        <f t="shared" si="18"/>
        <v>-3242.7399999999907</v>
      </c>
      <c r="U33" s="5"/>
      <c r="V33" s="5"/>
    </row>
    <row r="34" spans="1:22" x14ac:dyDescent="0.25">
      <c r="A34" s="2">
        <f t="shared" si="17"/>
        <v>45016</v>
      </c>
      <c r="B34" s="9">
        <f t="shared" si="15"/>
        <v>185274.89000000007</v>
      </c>
      <c r="C34" s="9"/>
      <c r="D34" s="9">
        <v>-52244.04</v>
      </c>
      <c r="E34" s="9"/>
      <c r="F34" s="9"/>
      <c r="G34" s="9"/>
      <c r="H34" s="9"/>
      <c r="I34" s="9"/>
      <c r="J34" s="9"/>
      <c r="K34" s="9">
        <f t="shared" si="14"/>
        <v>133030.85000000006</v>
      </c>
      <c r="M34" s="9">
        <f>+M33-2281.94</f>
        <v>177002.44</v>
      </c>
      <c r="N34" s="9">
        <f t="shared" si="16"/>
        <v>-43971.589999999938</v>
      </c>
      <c r="O34" s="9">
        <f t="shared" si="18"/>
        <v>49962.100000000006</v>
      </c>
      <c r="U34" s="5"/>
      <c r="V34" s="5"/>
    </row>
    <row r="35" spans="1:22" x14ac:dyDescent="0.25">
      <c r="A35" s="2">
        <f>+A34+30</f>
        <v>45046</v>
      </c>
      <c r="B35" s="9">
        <f t="shared" si="15"/>
        <v>133030.85000000006</v>
      </c>
      <c r="C35" s="9"/>
      <c r="D35" s="9">
        <v>0</v>
      </c>
      <c r="E35" s="9"/>
      <c r="F35" s="9"/>
      <c r="G35" s="9"/>
      <c r="H35" s="9"/>
      <c r="I35" s="9"/>
      <c r="J35" s="9"/>
      <c r="K35" s="9">
        <f t="shared" si="14"/>
        <v>133030.85000000006</v>
      </c>
      <c r="M35" s="9">
        <f>+M34-49962.1</f>
        <v>127040.34</v>
      </c>
      <c r="N35" s="9">
        <f t="shared" si="16"/>
        <v>5990.5100000000675</v>
      </c>
      <c r="O35" s="9">
        <f t="shared" si="18"/>
        <v>-49962.100000000006</v>
      </c>
      <c r="P35" s="5"/>
      <c r="Q35" s="5"/>
      <c r="U35" s="5"/>
      <c r="V35" s="5"/>
    </row>
    <row r="36" spans="1:22" x14ac:dyDescent="0.25">
      <c r="A36" s="2">
        <f t="shared" si="17"/>
        <v>45077</v>
      </c>
      <c r="B36" s="9">
        <f t="shared" si="15"/>
        <v>133030.85000000006</v>
      </c>
      <c r="C36" s="9"/>
      <c r="D36" s="9">
        <v>-30741.75</v>
      </c>
      <c r="E36" s="9"/>
      <c r="F36" s="25"/>
      <c r="G36" s="9"/>
      <c r="H36" s="9"/>
      <c r="I36" s="9"/>
      <c r="J36" s="49">
        <v>-22343.58</v>
      </c>
      <c r="K36" s="9">
        <f t="shared" si="14"/>
        <v>79945.520000000062</v>
      </c>
      <c r="M36" s="9">
        <f>+M35-30741.75</f>
        <v>96298.59</v>
      </c>
      <c r="N36" s="9">
        <f t="shared" si="16"/>
        <v>-16353.069999999934</v>
      </c>
      <c r="O36" s="9"/>
      <c r="P36" s="5"/>
      <c r="Q36" s="5"/>
    </row>
    <row r="37" spans="1:22" x14ac:dyDescent="0.25">
      <c r="A37" s="2">
        <f>+A36+30</f>
        <v>45107</v>
      </c>
      <c r="B37" s="9">
        <f t="shared" si="15"/>
        <v>79945.520000000062</v>
      </c>
      <c r="C37" s="9"/>
      <c r="D37" s="9">
        <v>-11224.37</v>
      </c>
      <c r="E37" s="9"/>
      <c r="F37" s="9"/>
      <c r="G37" s="9"/>
      <c r="H37" s="9"/>
      <c r="I37" s="9"/>
      <c r="J37" s="9"/>
      <c r="K37" s="9">
        <f t="shared" si="14"/>
        <v>68721.150000000067</v>
      </c>
      <c r="M37" s="9">
        <f>+M36-11224.37</f>
        <v>85074.22</v>
      </c>
      <c r="N37" s="15">
        <f>+K37-M37</f>
        <v>-16353.069999999934</v>
      </c>
      <c r="O37" s="9"/>
      <c r="P37" s="5"/>
    </row>
    <row r="38" spans="1:22" ht="15.75" thickBot="1" x14ac:dyDescent="0.3">
      <c r="A38" t="s">
        <v>16</v>
      </c>
      <c r="B38" s="9"/>
      <c r="C38" s="18">
        <f t="shared" ref="C38:J38" si="19">SUM(C26:C37)</f>
        <v>42672.49</v>
      </c>
      <c r="D38" s="18">
        <f t="shared" si="19"/>
        <v>-587663.31000000006</v>
      </c>
      <c r="E38" s="18">
        <f t="shared" si="19"/>
        <v>9839.09</v>
      </c>
      <c r="F38" s="18">
        <f t="shared" si="19"/>
        <v>17729.03</v>
      </c>
      <c r="G38" s="18">
        <f t="shared" si="19"/>
        <v>0</v>
      </c>
      <c r="H38" s="18">
        <f t="shared" si="19"/>
        <v>0</v>
      </c>
      <c r="I38" s="18">
        <f t="shared" si="19"/>
        <v>1.0500000000000003</v>
      </c>
      <c r="J38" s="18">
        <f t="shared" si="19"/>
        <v>-22343.58</v>
      </c>
      <c r="K38" s="18">
        <f>SUM(B38:J38)</f>
        <v>-539765.2300000001</v>
      </c>
      <c r="M38" s="27"/>
      <c r="N38" s="9"/>
      <c r="O38" s="9"/>
      <c r="P38" s="9"/>
      <c r="Q38" s="5"/>
    </row>
    <row r="39" spans="1:22" ht="15.75" thickTop="1" x14ac:dyDescent="0.25">
      <c r="O39" s="5"/>
    </row>
    <row r="40" spans="1:22" ht="18.75" x14ac:dyDescent="0.25">
      <c r="A40" s="23">
        <v>2021</v>
      </c>
    </row>
    <row r="41" spans="1:22" x14ac:dyDescent="0.25">
      <c r="A41" s="33" t="s">
        <v>40</v>
      </c>
      <c r="M41" s="32" t="s">
        <v>42</v>
      </c>
    </row>
    <row r="42" spans="1:22" s="21" customFormat="1" x14ac:dyDescent="0.25">
      <c r="C42" s="21" t="s">
        <v>19</v>
      </c>
      <c r="D42" s="21" t="s">
        <v>20</v>
      </c>
      <c r="E42" s="21" t="s">
        <v>19</v>
      </c>
      <c r="F42" s="21" t="s">
        <v>19</v>
      </c>
      <c r="G42" s="21" t="s">
        <v>20</v>
      </c>
      <c r="H42" s="21" t="s">
        <v>20</v>
      </c>
      <c r="I42" s="21" t="s">
        <v>21</v>
      </c>
      <c r="J42" s="21" t="s">
        <v>20</v>
      </c>
      <c r="K42" s="21" t="s">
        <v>10</v>
      </c>
      <c r="M42" s="21" t="s">
        <v>9</v>
      </c>
    </row>
    <row r="43" spans="1:22" x14ac:dyDescent="0.25">
      <c r="B43" s="4" t="s">
        <v>1</v>
      </c>
      <c r="C43" s="4" t="s">
        <v>2</v>
      </c>
      <c r="D43" s="4" t="s">
        <v>3</v>
      </c>
      <c r="E43" s="4" t="s">
        <v>12</v>
      </c>
      <c r="F43" s="4" t="s">
        <v>4</v>
      </c>
      <c r="G43" s="4" t="s">
        <v>5</v>
      </c>
      <c r="H43" s="4" t="s">
        <v>13</v>
      </c>
      <c r="I43" s="4" t="s">
        <v>6</v>
      </c>
      <c r="J43" s="4" t="s">
        <v>7</v>
      </c>
      <c r="K43" s="4" t="s">
        <v>8</v>
      </c>
      <c r="M43" s="6" t="s">
        <v>8</v>
      </c>
      <c r="N43" s="6" t="s">
        <v>14</v>
      </c>
      <c r="O43" s="7"/>
      <c r="P43" s="7"/>
    </row>
    <row r="44" spans="1:22" x14ac:dyDescent="0.25">
      <c r="A44" s="2">
        <v>44773</v>
      </c>
      <c r="B44" s="9">
        <f>168720.47-179.55</f>
        <v>168540.92</v>
      </c>
      <c r="C44" s="9"/>
      <c r="D44" s="9">
        <v>-25574.77</v>
      </c>
      <c r="E44" s="9"/>
      <c r="F44" s="9"/>
      <c r="G44" s="9"/>
      <c r="H44" s="9"/>
      <c r="I44" s="9"/>
      <c r="J44" s="9"/>
      <c r="K44" s="9">
        <f>SUM(B44:J44)</f>
        <v>142966.15000000002</v>
      </c>
      <c r="M44" s="9">
        <v>165455.12</v>
      </c>
      <c r="N44" s="9">
        <f>+K44-M44</f>
        <v>-22488.969999999972</v>
      </c>
      <c r="O44" s="9"/>
      <c r="Q44">
        <v>2021</v>
      </c>
      <c r="T44" s="3"/>
    </row>
    <row r="45" spans="1:22" x14ac:dyDescent="0.25">
      <c r="A45" s="2">
        <f>+A44+31</f>
        <v>44804</v>
      </c>
      <c r="B45" s="9">
        <f>+K44</f>
        <v>142966.15000000002</v>
      </c>
      <c r="C45" s="9"/>
      <c r="D45" s="9">
        <v>-781.25</v>
      </c>
      <c r="E45" s="9"/>
      <c r="F45" s="9"/>
      <c r="G45" s="9"/>
      <c r="H45" s="9"/>
      <c r="I45" s="9"/>
      <c r="J45" s="9"/>
      <c r="K45" s="9">
        <f t="shared" ref="K45:K55" si="20">SUM(B45:J45)</f>
        <v>142184.90000000002</v>
      </c>
      <c r="M45" s="9">
        <f>+M44-26356.02</f>
        <v>139099.1</v>
      </c>
      <c r="N45" s="9">
        <f>+K45-M45</f>
        <v>3085.8000000000175</v>
      </c>
      <c r="O45" s="9">
        <f>+N44-N45</f>
        <v>-25574.76999999999</v>
      </c>
      <c r="R45" s="45" t="s">
        <v>89</v>
      </c>
      <c r="S45" s="45" t="s">
        <v>59</v>
      </c>
      <c r="T45" s="3">
        <v>3085.8</v>
      </c>
      <c r="U45" s="45"/>
    </row>
    <row r="46" spans="1:22" x14ac:dyDescent="0.25">
      <c r="A46" s="2">
        <f>+A45+30</f>
        <v>44834</v>
      </c>
      <c r="B46" s="9">
        <f t="shared" ref="B46:B55" si="21">+K45</f>
        <v>142184.90000000002</v>
      </c>
      <c r="C46" s="9"/>
      <c r="D46" s="9">
        <v>-14342.12</v>
      </c>
      <c r="E46" s="9"/>
      <c r="F46" s="9"/>
      <c r="G46" s="9"/>
      <c r="H46" s="9"/>
      <c r="I46" s="9"/>
      <c r="J46" s="9"/>
      <c r="K46" s="9">
        <f t="shared" si="20"/>
        <v>127842.78000000003</v>
      </c>
      <c r="M46" s="9">
        <f>+M45-14342.12</f>
        <v>124756.98000000001</v>
      </c>
      <c r="N46" s="9">
        <f t="shared" ref="N46:N54" si="22">+K46-M46</f>
        <v>3085.8000000000175</v>
      </c>
      <c r="O46" s="9">
        <f t="shared" ref="O46:O53" si="23">+N45-N46</f>
        <v>0</v>
      </c>
      <c r="T46" s="3"/>
    </row>
    <row r="47" spans="1:22" ht="15.75" thickBot="1" x14ac:dyDescent="0.3">
      <c r="A47" s="2">
        <f t="shared" ref="A47:A54" si="24">+A46+31</f>
        <v>44865</v>
      </c>
      <c r="B47" s="9">
        <f t="shared" si="21"/>
        <v>127842.78000000003</v>
      </c>
      <c r="C47" s="9"/>
      <c r="D47" s="9">
        <v>-5116.7299999999996</v>
      </c>
      <c r="E47" s="9">
        <v>5107.6000000000004</v>
      </c>
      <c r="F47" s="9"/>
      <c r="G47" s="9"/>
      <c r="H47" s="9"/>
      <c r="I47" s="9"/>
      <c r="J47" s="9"/>
      <c r="K47" s="9">
        <f t="shared" si="20"/>
        <v>127833.65000000004</v>
      </c>
      <c r="M47" s="9">
        <f>+M46-9.13</f>
        <v>124747.85</v>
      </c>
      <c r="N47" s="9">
        <f t="shared" si="22"/>
        <v>3085.800000000032</v>
      </c>
      <c r="O47" s="9">
        <f t="shared" si="23"/>
        <v>-1.4551915228366852E-11</v>
      </c>
      <c r="S47" t="s">
        <v>54</v>
      </c>
      <c r="T47" s="8">
        <f>SUM(T45:T46)</f>
        <v>3085.8</v>
      </c>
    </row>
    <row r="48" spans="1:22" ht="15.75" thickTop="1" x14ac:dyDescent="0.25">
      <c r="A48" s="2">
        <f>+A47+30</f>
        <v>44895</v>
      </c>
      <c r="B48" s="9">
        <f t="shared" si="21"/>
        <v>127833.65000000004</v>
      </c>
      <c r="C48" s="9"/>
      <c r="D48" s="9">
        <v>-8127.57</v>
      </c>
      <c r="E48" s="9"/>
      <c r="F48" s="9"/>
      <c r="G48" s="9"/>
      <c r="H48" s="9"/>
      <c r="I48" s="9"/>
      <c r="J48" s="9"/>
      <c r="K48" s="9">
        <f t="shared" si="20"/>
        <v>119706.08000000005</v>
      </c>
      <c r="M48" s="9">
        <f>+M47-8127.57</f>
        <v>116620.28</v>
      </c>
      <c r="N48" s="9">
        <f t="shared" si="22"/>
        <v>3085.8000000000466</v>
      </c>
      <c r="O48" s="9">
        <f t="shared" si="23"/>
        <v>-1.4551915228366852E-11</v>
      </c>
      <c r="T48" s="9"/>
      <c r="U48" s="5"/>
      <c r="V48" s="5"/>
    </row>
    <row r="49" spans="1:22" x14ac:dyDescent="0.25">
      <c r="A49" s="2">
        <f t="shared" si="24"/>
        <v>44926</v>
      </c>
      <c r="B49" s="9">
        <f t="shared" si="21"/>
        <v>119706.08000000005</v>
      </c>
      <c r="C49" s="9"/>
      <c r="D49" s="9">
        <v>-5391.25</v>
      </c>
      <c r="E49" s="9"/>
      <c r="F49" s="9"/>
      <c r="G49" s="9"/>
      <c r="H49" s="9"/>
      <c r="I49" s="9"/>
      <c r="J49" s="9"/>
      <c r="K49" s="9">
        <f t="shared" si="20"/>
        <v>114314.83000000005</v>
      </c>
      <c r="M49" s="9">
        <f>+M48-5391.25</f>
        <v>111229.03</v>
      </c>
      <c r="N49" s="9">
        <f t="shared" si="22"/>
        <v>3085.8000000000466</v>
      </c>
      <c r="O49" s="9">
        <f t="shared" si="23"/>
        <v>0</v>
      </c>
      <c r="U49" s="5"/>
      <c r="V49" s="5"/>
    </row>
    <row r="50" spans="1:22" x14ac:dyDescent="0.25">
      <c r="A50" s="2">
        <f t="shared" si="24"/>
        <v>44957</v>
      </c>
      <c r="B50" s="9">
        <f t="shared" si="21"/>
        <v>114314.83000000005</v>
      </c>
      <c r="C50" s="9"/>
      <c r="D50" s="9">
        <v>0</v>
      </c>
      <c r="E50" s="9"/>
      <c r="F50" s="9"/>
      <c r="G50" s="9"/>
      <c r="H50" s="9"/>
      <c r="I50" s="9"/>
      <c r="J50" s="9"/>
      <c r="K50" s="9">
        <f t="shared" si="20"/>
        <v>114314.83000000005</v>
      </c>
      <c r="M50" s="9">
        <f>+M49</f>
        <v>111229.03</v>
      </c>
      <c r="N50" s="9">
        <f t="shared" si="22"/>
        <v>3085.8000000000466</v>
      </c>
      <c r="O50" s="9">
        <f t="shared" si="23"/>
        <v>0</v>
      </c>
      <c r="U50" s="5"/>
      <c r="V50" s="5"/>
    </row>
    <row r="51" spans="1:22" x14ac:dyDescent="0.25">
      <c r="A51" s="2">
        <f>+A50+28</f>
        <v>44985</v>
      </c>
      <c r="B51" s="9">
        <f t="shared" si="21"/>
        <v>114314.83000000005</v>
      </c>
      <c r="C51" s="9"/>
      <c r="D51" s="9">
        <v>-7643.16</v>
      </c>
      <c r="E51" s="9"/>
      <c r="F51" s="9"/>
      <c r="G51" s="9"/>
      <c r="H51" s="9"/>
      <c r="I51" s="9"/>
      <c r="J51" s="9"/>
      <c r="K51" s="9">
        <f t="shared" si="20"/>
        <v>106671.67000000004</v>
      </c>
      <c r="M51" s="9">
        <f>+M50-7643.16</f>
        <v>103585.87</v>
      </c>
      <c r="N51" s="9">
        <f t="shared" si="22"/>
        <v>3085.8000000000466</v>
      </c>
      <c r="O51" s="9">
        <f t="shared" si="23"/>
        <v>0</v>
      </c>
      <c r="U51" s="5"/>
      <c r="V51" s="5"/>
    </row>
    <row r="52" spans="1:22" x14ac:dyDescent="0.25">
      <c r="A52" s="2">
        <f t="shared" si="24"/>
        <v>45016</v>
      </c>
      <c r="B52" s="9">
        <f t="shared" si="21"/>
        <v>106671.67000000004</v>
      </c>
      <c r="C52" s="9"/>
      <c r="D52" s="9">
        <v>-21521.35</v>
      </c>
      <c r="E52" s="9"/>
      <c r="F52" s="9"/>
      <c r="G52" s="9"/>
      <c r="H52" s="9"/>
      <c r="I52" s="9"/>
      <c r="J52" s="9"/>
      <c r="K52" s="9">
        <f t="shared" si="20"/>
        <v>85150.320000000036</v>
      </c>
      <c r="M52" s="9">
        <f>+M51-3024.68</f>
        <v>100561.19</v>
      </c>
      <c r="N52" s="9">
        <f t="shared" si="22"/>
        <v>-15410.869999999966</v>
      </c>
      <c r="O52" s="9">
        <f t="shared" si="23"/>
        <v>18496.670000000013</v>
      </c>
      <c r="U52" s="5"/>
      <c r="V52" s="5"/>
    </row>
    <row r="53" spans="1:22" x14ac:dyDescent="0.25">
      <c r="A53" s="2">
        <f>+A52+30</f>
        <v>45046</v>
      </c>
      <c r="B53" s="9">
        <f t="shared" si="21"/>
        <v>85150.320000000036</v>
      </c>
      <c r="C53" s="9"/>
      <c r="D53" s="9">
        <v>0</v>
      </c>
      <c r="E53" s="9"/>
      <c r="F53" s="9"/>
      <c r="G53" s="9"/>
      <c r="H53" s="9"/>
      <c r="I53" s="9"/>
      <c r="J53" s="9"/>
      <c r="K53" s="9">
        <f t="shared" si="20"/>
        <v>85150.320000000036</v>
      </c>
      <c r="M53" s="9">
        <f>+M52-18496.67</f>
        <v>82064.52</v>
      </c>
      <c r="N53" s="9">
        <f t="shared" si="22"/>
        <v>3085.800000000032</v>
      </c>
      <c r="O53" s="9">
        <f t="shared" si="23"/>
        <v>-18496.669999999998</v>
      </c>
      <c r="Q53" s="5"/>
      <c r="U53" s="5"/>
      <c r="V53" s="5"/>
    </row>
    <row r="54" spans="1:22" x14ac:dyDescent="0.25">
      <c r="A54" s="2">
        <f t="shared" si="24"/>
        <v>45077</v>
      </c>
      <c r="B54" s="9">
        <f t="shared" si="21"/>
        <v>85150.320000000036</v>
      </c>
      <c r="C54" s="9"/>
      <c r="D54" s="9">
        <v>-30718.81</v>
      </c>
      <c r="E54" s="9">
        <v>3777.33</v>
      </c>
      <c r="F54" s="9"/>
      <c r="G54" s="9"/>
      <c r="H54" s="9"/>
      <c r="I54" s="9"/>
      <c r="J54" s="9"/>
      <c r="K54" s="9">
        <f t="shared" si="20"/>
        <v>58208.84000000004</v>
      </c>
      <c r="M54" s="9">
        <f>+M53-26941.48</f>
        <v>55123.040000000008</v>
      </c>
      <c r="N54" s="9">
        <f t="shared" si="22"/>
        <v>3085.800000000032</v>
      </c>
      <c r="O54" s="9"/>
      <c r="P54" s="5"/>
      <c r="Q54" s="5"/>
    </row>
    <row r="55" spans="1:22" x14ac:dyDescent="0.25">
      <c r="A55" s="2">
        <f>+A54+30</f>
        <v>45107</v>
      </c>
      <c r="B55" s="9">
        <f t="shared" si="21"/>
        <v>58208.84000000004</v>
      </c>
      <c r="C55" s="9"/>
      <c r="D55" s="9">
        <v>-19128.759999999998</v>
      </c>
      <c r="E55" s="9"/>
      <c r="F55" s="9"/>
      <c r="G55" s="9"/>
      <c r="H55" s="9"/>
      <c r="I55" s="9"/>
      <c r="J55" s="9"/>
      <c r="K55" s="9">
        <f t="shared" si="20"/>
        <v>39080.080000000045</v>
      </c>
      <c r="M55" s="9">
        <f>+M54-19128.76</f>
        <v>35994.280000000013</v>
      </c>
      <c r="N55" s="15">
        <f>+K55-M55</f>
        <v>3085.800000000032</v>
      </c>
      <c r="O55" s="9"/>
    </row>
    <row r="56" spans="1:22" ht="15.75" thickBot="1" x14ac:dyDescent="0.3">
      <c r="A56" t="s">
        <v>16</v>
      </c>
      <c r="B56" s="9"/>
      <c r="C56" s="18">
        <f t="shared" ref="C56:J56" si="25">SUM(C44:C55)</f>
        <v>0</v>
      </c>
      <c r="D56" s="18">
        <f t="shared" si="25"/>
        <v>-138345.76999999999</v>
      </c>
      <c r="E56" s="18">
        <f t="shared" si="25"/>
        <v>8884.93</v>
      </c>
      <c r="F56" s="18">
        <f t="shared" si="25"/>
        <v>0</v>
      </c>
      <c r="G56" s="18">
        <f t="shared" si="25"/>
        <v>0</v>
      </c>
      <c r="H56" s="18">
        <f t="shared" si="25"/>
        <v>0</v>
      </c>
      <c r="I56" s="18">
        <f t="shared" si="25"/>
        <v>0</v>
      </c>
      <c r="J56" s="18">
        <f t="shared" si="25"/>
        <v>0</v>
      </c>
      <c r="K56" s="18">
        <f>+K55</f>
        <v>39080.080000000045</v>
      </c>
      <c r="M56" s="27"/>
      <c r="N56" s="9"/>
      <c r="O56" s="9"/>
      <c r="P56" s="9"/>
    </row>
    <row r="57" spans="1:22" ht="15.75" thickTop="1" x14ac:dyDescent="0.25">
      <c r="O57" s="5"/>
    </row>
    <row r="58" spans="1:22" ht="18.75" x14ac:dyDescent="0.25">
      <c r="A58" s="23">
        <v>2020</v>
      </c>
      <c r="E58" s="5"/>
    </row>
    <row r="59" spans="1:22" x14ac:dyDescent="0.25">
      <c r="A59" s="33" t="s">
        <v>11</v>
      </c>
      <c r="M59" s="32" t="s">
        <v>15</v>
      </c>
    </row>
    <row r="60" spans="1:22" x14ac:dyDescent="0.25">
      <c r="C60" s="10" t="s">
        <v>19</v>
      </c>
      <c r="D60" s="10" t="s">
        <v>20</v>
      </c>
      <c r="E60" s="10" t="s">
        <v>19</v>
      </c>
      <c r="F60" s="10" t="s">
        <v>19</v>
      </c>
      <c r="G60" s="10" t="s">
        <v>20</v>
      </c>
      <c r="H60" s="10" t="s">
        <v>20</v>
      </c>
      <c r="I60" s="10" t="s">
        <v>21</v>
      </c>
      <c r="J60" s="10" t="s">
        <v>20</v>
      </c>
      <c r="K60" s="7" t="s">
        <v>10</v>
      </c>
      <c r="L60" s="7"/>
      <c r="M60" s="7" t="s">
        <v>9</v>
      </c>
      <c r="Q60" s="24"/>
      <c r="R60" s="24"/>
      <c r="S60" s="24"/>
      <c r="T60" s="24"/>
      <c r="U60" s="24"/>
      <c r="V60" s="24"/>
    </row>
    <row r="61" spans="1:22" x14ac:dyDescent="0.25">
      <c r="B61" s="4" t="s">
        <v>1</v>
      </c>
      <c r="C61" s="6" t="s">
        <v>2</v>
      </c>
      <c r="D61" s="6" t="s">
        <v>3</v>
      </c>
      <c r="E61" s="6" t="s">
        <v>12</v>
      </c>
      <c r="F61" s="6" t="s">
        <v>4</v>
      </c>
      <c r="G61" s="6" t="s">
        <v>5</v>
      </c>
      <c r="H61" s="6" t="s">
        <v>13</v>
      </c>
      <c r="I61" s="6" t="s">
        <v>6</v>
      </c>
      <c r="J61" s="6" t="s">
        <v>7</v>
      </c>
      <c r="K61" s="6" t="s">
        <v>8</v>
      </c>
      <c r="L61" s="7"/>
      <c r="M61" s="6" t="s">
        <v>8</v>
      </c>
      <c r="N61" s="6" t="s">
        <v>14</v>
      </c>
      <c r="O61" s="7"/>
      <c r="P61" s="7"/>
    </row>
    <row r="62" spans="1:22" x14ac:dyDescent="0.25">
      <c r="A62" s="2">
        <v>44773</v>
      </c>
      <c r="B62" s="9">
        <v>99111.4</v>
      </c>
      <c r="C62" s="9"/>
      <c r="D62" s="9"/>
      <c r="E62" s="9"/>
      <c r="F62" s="9"/>
      <c r="G62" s="9"/>
      <c r="H62" s="9"/>
      <c r="I62" s="9"/>
      <c r="J62" s="9"/>
      <c r="K62" s="9">
        <f>SUM(B62:J62)</f>
        <v>99111.4</v>
      </c>
      <c r="M62" s="9">
        <v>99105.31</v>
      </c>
      <c r="N62" s="9">
        <f>+K62-M62</f>
        <v>6.0899999999965075</v>
      </c>
      <c r="O62" s="9"/>
      <c r="P62" s="47" t="s">
        <v>55</v>
      </c>
    </row>
    <row r="63" spans="1:22" x14ac:dyDescent="0.25">
      <c r="A63" s="2">
        <f>+A62+31</f>
        <v>44804</v>
      </c>
      <c r="B63" s="9">
        <f>+K62</f>
        <v>99111.4</v>
      </c>
      <c r="C63" s="9"/>
      <c r="D63" s="9"/>
      <c r="E63" s="9"/>
      <c r="F63" s="9"/>
      <c r="G63" s="9"/>
      <c r="H63" s="9"/>
      <c r="I63" s="9"/>
      <c r="J63" s="9"/>
      <c r="K63" s="9">
        <f>SUM(B63:J63)</f>
        <v>99111.4</v>
      </c>
      <c r="M63" s="9">
        <f>+M62</f>
        <v>99105.31</v>
      </c>
      <c r="N63" s="9">
        <f t="shared" ref="N63:N73" si="26">+K63-M63</f>
        <v>6.0899999999965075</v>
      </c>
      <c r="O63" s="9"/>
      <c r="P63" s="9"/>
    </row>
    <row r="64" spans="1:22" x14ac:dyDescent="0.25">
      <c r="A64" s="2">
        <f>+A63+30</f>
        <v>44834</v>
      </c>
      <c r="B64" s="9">
        <f t="shared" ref="B64:B73" si="27">+K63</f>
        <v>99111.4</v>
      </c>
      <c r="C64" s="9"/>
      <c r="D64" s="9">
        <v>-14192.05</v>
      </c>
      <c r="E64" s="9"/>
      <c r="F64" s="9"/>
      <c r="G64" s="9"/>
      <c r="H64" s="9"/>
      <c r="I64" s="9"/>
      <c r="J64" s="9"/>
      <c r="K64" s="9">
        <f t="shared" ref="K64:K73" si="28">SUM(B64:J64)</f>
        <v>84919.349999999991</v>
      </c>
      <c r="M64" s="9">
        <f>+M63-14192.05</f>
        <v>84913.26</v>
      </c>
      <c r="N64" s="9">
        <f t="shared" si="26"/>
        <v>6.0899999999965075</v>
      </c>
      <c r="O64" s="9"/>
      <c r="P64" s="9"/>
    </row>
    <row r="65" spans="1:21" x14ac:dyDescent="0.25">
      <c r="A65" s="2">
        <f t="shared" ref="A65:A72" si="29">+A64+31</f>
        <v>44865</v>
      </c>
      <c r="B65" s="9">
        <f t="shared" si="27"/>
        <v>84919.349999999991</v>
      </c>
      <c r="C65" s="9"/>
      <c r="D65" s="9">
        <v>1.48</v>
      </c>
      <c r="E65" s="9"/>
      <c r="F65" s="9"/>
      <c r="G65" s="9"/>
      <c r="H65" s="9"/>
      <c r="I65" s="9"/>
      <c r="J65" s="9"/>
      <c r="K65" s="9">
        <f t="shared" si="28"/>
        <v>84920.829999999987</v>
      </c>
      <c r="M65" s="9">
        <f>+M64+1.48</f>
        <v>84914.739999999991</v>
      </c>
      <c r="N65" s="9">
        <f t="shared" si="26"/>
        <v>6.0899999999965075</v>
      </c>
      <c r="O65" s="9"/>
      <c r="P65" s="9"/>
    </row>
    <row r="66" spans="1:21" x14ac:dyDescent="0.25">
      <c r="A66" s="2">
        <f>+A65+30</f>
        <v>44895</v>
      </c>
      <c r="B66" s="9">
        <f t="shared" si="27"/>
        <v>84920.829999999987</v>
      </c>
      <c r="C66" s="9"/>
      <c r="D66" s="9"/>
      <c r="E66" s="9"/>
      <c r="F66" s="9"/>
      <c r="G66" s="9"/>
      <c r="H66" s="9"/>
      <c r="I66" s="29"/>
      <c r="J66" s="9"/>
      <c r="K66" s="9">
        <f t="shared" si="28"/>
        <v>84920.829999999987</v>
      </c>
      <c r="M66" s="9">
        <f>+M65</f>
        <v>84914.739999999991</v>
      </c>
      <c r="N66" s="9">
        <f t="shared" si="26"/>
        <v>6.0899999999965075</v>
      </c>
      <c r="O66" s="9"/>
      <c r="P66" s="9"/>
    </row>
    <row r="67" spans="1:21" x14ac:dyDescent="0.25">
      <c r="A67" s="2">
        <f t="shared" si="29"/>
        <v>44926</v>
      </c>
      <c r="B67" s="9">
        <f t="shared" si="27"/>
        <v>84920.829999999987</v>
      </c>
      <c r="C67" s="9"/>
      <c r="D67" s="9"/>
      <c r="E67" s="9"/>
      <c r="F67" s="9"/>
      <c r="G67" s="9"/>
      <c r="H67" s="9"/>
      <c r="I67" s="9"/>
      <c r="J67" s="9"/>
      <c r="K67" s="9">
        <f t="shared" si="28"/>
        <v>84920.829999999987</v>
      </c>
      <c r="M67" s="9">
        <f t="shared" ref="M67:M69" si="30">+M66</f>
        <v>84914.739999999991</v>
      </c>
      <c r="N67" s="9">
        <f t="shared" si="26"/>
        <v>6.0899999999965075</v>
      </c>
      <c r="O67" s="9"/>
      <c r="P67" s="9"/>
      <c r="U67" s="9"/>
    </row>
    <row r="68" spans="1:21" x14ac:dyDescent="0.25">
      <c r="A68" s="2">
        <f t="shared" si="29"/>
        <v>44957</v>
      </c>
      <c r="B68" s="9">
        <f t="shared" si="27"/>
        <v>84920.829999999987</v>
      </c>
      <c r="C68" s="9"/>
      <c r="D68" s="9"/>
      <c r="E68" s="9"/>
      <c r="F68" s="9"/>
      <c r="G68" s="9"/>
      <c r="H68" s="9"/>
      <c r="I68" s="9"/>
      <c r="J68" s="9"/>
      <c r="K68" s="9">
        <f t="shared" si="28"/>
        <v>84920.829999999987</v>
      </c>
      <c r="M68" s="9">
        <f t="shared" si="30"/>
        <v>84914.739999999991</v>
      </c>
      <c r="N68" s="9">
        <f t="shared" si="26"/>
        <v>6.0899999999965075</v>
      </c>
      <c r="O68" s="9"/>
      <c r="P68" s="9"/>
    </row>
    <row r="69" spans="1:21" x14ac:dyDescent="0.25">
      <c r="A69" s="2">
        <f>+A68+28</f>
        <v>44985</v>
      </c>
      <c r="B69" s="9">
        <f t="shared" si="27"/>
        <v>84920.829999999987</v>
      </c>
      <c r="C69" s="9"/>
      <c r="D69" s="9"/>
      <c r="E69" s="9"/>
      <c r="F69" s="9"/>
      <c r="G69" s="9"/>
      <c r="H69" s="9"/>
      <c r="I69" s="9"/>
      <c r="J69" s="9"/>
      <c r="K69" s="9">
        <f t="shared" si="28"/>
        <v>84920.829999999987</v>
      </c>
      <c r="M69" s="9">
        <f t="shared" si="30"/>
        <v>84914.739999999991</v>
      </c>
      <c r="N69" s="9">
        <f t="shared" si="26"/>
        <v>6.0899999999965075</v>
      </c>
      <c r="O69" s="9"/>
      <c r="P69" s="9"/>
    </row>
    <row r="70" spans="1:21" x14ac:dyDescent="0.25">
      <c r="A70" s="2">
        <f t="shared" si="29"/>
        <v>45016</v>
      </c>
      <c r="B70" s="9">
        <f t="shared" si="27"/>
        <v>84920.829999999987</v>
      </c>
      <c r="C70" s="9"/>
      <c r="D70" s="9">
        <v>-42192.61</v>
      </c>
      <c r="E70" s="9"/>
      <c r="F70" s="9"/>
      <c r="G70" s="9"/>
      <c r="H70" s="9"/>
      <c r="I70" s="9"/>
      <c r="J70" s="9"/>
      <c r="K70" s="9">
        <f t="shared" si="28"/>
        <v>42728.219999999987</v>
      </c>
      <c r="M70" s="9">
        <f>+M69</f>
        <v>84914.739999999991</v>
      </c>
      <c r="N70" s="9">
        <f>+K70-M70</f>
        <v>-42186.520000000004</v>
      </c>
      <c r="O70" s="9"/>
      <c r="P70" s="9"/>
    </row>
    <row r="71" spans="1:21" x14ac:dyDescent="0.25">
      <c r="A71" s="2">
        <f>+A70+30</f>
        <v>45046</v>
      </c>
      <c r="B71" s="9">
        <f t="shared" si="27"/>
        <v>42728.219999999987</v>
      </c>
      <c r="C71" s="9"/>
      <c r="D71" s="9"/>
      <c r="E71" s="9"/>
      <c r="F71" s="9"/>
      <c r="G71" s="9"/>
      <c r="H71" s="9"/>
      <c r="I71" s="9"/>
      <c r="J71" s="9"/>
      <c r="K71" s="9">
        <f>SUM(B71:J71)</f>
        <v>42728.219999999987</v>
      </c>
      <c r="M71" s="9">
        <f>+M70-36693.24</f>
        <v>48221.499999999993</v>
      </c>
      <c r="N71" s="9">
        <f>+K71-M71</f>
        <v>-5493.2800000000061</v>
      </c>
      <c r="O71" s="9"/>
      <c r="P71" s="9"/>
    </row>
    <row r="72" spans="1:21" x14ac:dyDescent="0.25">
      <c r="A72" s="2">
        <f t="shared" si="29"/>
        <v>45077</v>
      </c>
      <c r="B72" s="9">
        <f t="shared" si="27"/>
        <v>42728.219999999987</v>
      </c>
      <c r="C72" s="9"/>
      <c r="D72" s="9">
        <v>-20666.95</v>
      </c>
      <c r="E72" s="9">
        <v>3795.99</v>
      </c>
      <c r="F72" s="9"/>
      <c r="G72" s="9"/>
      <c r="H72" s="9"/>
      <c r="I72" s="9"/>
      <c r="J72" s="9"/>
      <c r="K72" s="9">
        <f t="shared" si="28"/>
        <v>25857.259999999987</v>
      </c>
      <c r="M72" s="9">
        <f>+M71-22370.33</f>
        <v>25851.169999999991</v>
      </c>
      <c r="N72" s="9">
        <f t="shared" si="26"/>
        <v>6.0899999999965075</v>
      </c>
      <c r="O72" s="9"/>
      <c r="P72" s="9"/>
    </row>
    <row r="73" spans="1:21" x14ac:dyDescent="0.25">
      <c r="A73" s="2">
        <f>+A72+30</f>
        <v>45107</v>
      </c>
      <c r="B73" s="9">
        <f t="shared" si="27"/>
        <v>25857.259999999987</v>
      </c>
      <c r="C73" s="9"/>
      <c r="D73" s="9">
        <v>-19054.560000000001</v>
      </c>
      <c r="E73" s="9"/>
      <c r="F73" s="9"/>
      <c r="G73" s="9"/>
      <c r="H73" s="9"/>
      <c r="I73" s="9"/>
      <c r="J73" s="9"/>
      <c r="K73" s="9">
        <f t="shared" si="28"/>
        <v>6802.6999999999862</v>
      </c>
      <c r="M73" s="9">
        <f>+M72-19054.56</f>
        <v>6796.6099999999897</v>
      </c>
      <c r="N73" s="14">
        <f t="shared" si="26"/>
        <v>6.0899999999965075</v>
      </c>
      <c r="O73" s="19"/>
      <c r="P73" s="9"/>
    </row>
    <row r="74" spans="1:21" ht="15.75" thickBot="1" x14ac:dyDescent="0.3">
      <c r="A74" t="s">
        <v>16</v>
      </c>
      <c r="B74" s="9">
        <f>+B62</f>
        <v>99111.4</v>
      </c>
      <c r="C74" s="18">
        <f t="shared" ref="C74:J74" si="31">SUM(C62:C73)</f>
        <v>0</v>
      </c>
      <c r="D74" s="18">
        <f t="shared" si="31"/>
        <v>-96104.69</v>
      </c>
      <c r="E74" s="18">
        <f t="shared" si="31"/>
        <v>3795.99</v>
      </c>
      <c r="F74" s="18">
        <f t="shared" si="31"/>
        <v>0</v>
      </c>
      <c r="G74" s="18">
        <f t="shared" si="31"/>
        <v>0</v>
      </c>
      <c r="H74" s="18">
        <f t="shared" si="31"/>
        <v>0</v>
      </c>
      <c r="I74" s="18">
        <f t="shared" si="31"/>
        <v>0</v>
      </c>
      <c r="J74" s="18">
        <f t="shared" si="31"/>
        <v>0</v>
      </c>
      <c r="K74" s="18">
        <f>SUM(B74:J74)</f>
        <v>6802.6999999999916</v>
      </c>
      <c r="M74" s="17"/>
      <c r="N74" s="9"/>
      <c r="O74" s="9"/>
      <c r="P74" s="9"/>
    </row>
    <row r="75" spans="1:21" ht="15.75" thickTop="1" x14ac:dyDescent="0.25">
      <c r="H75" s="5"/>
      <c r="I75" s="5"/>
      <c r="J75" s="5"/>
      <c r="M75" s="17"/>
      <c r="N75" s="9"/>
      <c r="O75" s="9"/>
      <c r="P75" s="9"/>
    </row>
    <row r="76" spans="1:21" ht="18.75" x14ac:dyDescent="0.25">
      <c r="A76" s="23">
        <v>2019</v>
      </c>
      <c r="H76" s="5"/>
      <c r="I76" s="5"/>
      <c r="J76" s="5"/>
      <c r="N76" s="9"/>
      <c r="O76" s="9"/>
      <c r="P76" s="9"/>
    </row>
    <row r="77" spans="1:21" x14ac:dyDescent="0.25">
      <c r="A77" s="33" t="s">
        <v>17</v>
      </c>
      <c r="M77" s="32" t="s">
        <v>31</v>
      </c>
    </row>
    <row r="78" spans="1:21" x14ac:dyDescent="0.25">
      <c r="C78" s="10" t="s">
        <v>19</v>
      </c>
      <c r="D78" s="10" t="s">
        <v>20</v>
      </c>
      <c r="E78" s="10" t="s">
        <v>19</v>
      </c>
      <c r="F78" s="10" t="s">
        <v>19</v>
      </c>
      <c r="G78" s="10" t="s">
        <v>20</v>
      </c>
      <c r="H78" s="10" t="s">
        <v>20</v>
      </c>
      <c r="I78" s="10" t="s">
        <v>21</v>
      </c>
      <c r="J78" s="10" t="s">
        <v>20</v>
      </c>
      <c r="K78" s="7" t="s">
        <v>10</v>
      </c>
      <c r="L78" s="7"/>
      <c r="M78" s="7" t="s">
        <v>9</v>
      </c>
    </row>
    <row r="79" spans="1:21" x14ac:dyDescent="0.25">
      <c r="B79" s="4" t="s">
        <v>1</v>
      </c>
      <c r="C79" s="6" t="s">
        <v>2</v>
      </c>
      <c r="D79" s="6" t="s">
        <v>3</v>
      </c>
      <c r="E79" s="6" t="s">
        <v>12</v>
      </c>
      <c r="F79" s="6" t="s">
        <v>4</v>
      </c>
      <c r="G79" s="6" t="s">
        <v>5</v>
      </c>
      <c r="H79" s="6" t="s">
        <v>13</v>
      </c>
      <c r="I79" s="6" t="s">
        <v>6</v>
      </c>
      <c r="J79" s="6" t="s">
        <v>7</v>
      </c>
      <c r="K79" s="6" t="s">
        <v>8</v>
      </c>
      <c r="L79" s="7"/>
      <c r="M79" s="6" t="s">
        <v>8</v>
      </c>
      <c r="N79" s="6" t="s">
        <v>14</v>
      </c>
      <c r="O79" s="7"/>
      <c r="P79" s="7"/>
    </row>
    <row r="80" spans="1:21" x14ac:dyDescent="0.25">
      <c r="A80" s="2">
        <v>44773</v>
      </c>
      <c r="B80" s="9">
        <v>37465.25</v>
      </c>
      <c r="C80" s="9"/>
      <c r="D80" s="9"/>
      <c r="E80" s="9"/>
      <c r="F80" s="9"/>
      <c r="G80" s="9"/>
      <c r="H80" s="9"/>
      <c r="I80" s="9"/>
      <c r="J80" s="9"/>
      <c r="K80" s="9">
        <f>SUM(B80:J80)</f>
        <v>37465.25</v>
      </c>
      <c r="M80" s="9">
        <v>37594.92</v>
      </c>
      <c r="N80" s="9">
        <f>+K80-M80</f>
        <v>-129.66999999999825</v>
      </c>
      <c r="O80" s="9"/>
      <c r="P80" s="9"/>
    </row>
    <row r="81" spans="1:16" x14ac:dyDescent="0.25">
      <c r="A81" s="2">
        <f>+A80+31</f>
        <v>44804</v>
      </c>
      <c r="B81" s="9">
        <f>+K80</f>
        <v>37465.25</v>
      </c>
      <c r="C81" s="9"/>
      <c r="D81" s="9"/>
      <c r="E81" s="9"/>
      <c r="F81" s="9"/>
      <c r="G81" s="9"/>
      <c r="H81" s="9"/>
      <c r="I81" s="9"/>
      <c r="J81" s="9"/>
      <c r="K81" s="9">
        <f t="shared" ref="K81:K90" si="32">SUM(B81:J81)</f>
        <v>37465.25</v>
      </c>
      <c r="M81" s="9">
        <f>+M80</f>
        <v>37594.92</v>
      </c>
      <c r="N81" s="9">
        <f t="shared" ref="N81:N91" si="33">+K81-M81</f>
        <v>-129.66999999999825</v>
      </c>
      <c r="O81" s="9"/>
      <c r="P81" s="9"/>
    </row>
    <row r="82" spans="1:16" x14ac:dyDescent="0.25">
      <c r="A82" s="2">
        <f>+A81+30</f>
        <v>44834</v>
      </c>
      <c r="B82" s="9">
        <f t="shared" ref="B82:B91" si="34">+K81</f>
        <v>37465.25</v>
      </c>
      <c r="C82" s="9"/>
      <c r="D82" s="9"/>
      <c r="E82" s="9"/>
      <c r="F82" s="9"/>
      <c r="G82" s="9"/>
      <c r="H82" s="9"/>
      <c r="I82" s="9"/>
      <c r="J82" s="9"/>
      <c r="K82" s="9">
        <f t="shared" si="32"/>
        <v>37465.25</v>
      </c>
      <c r="M82" s="9">
        <f t="shared" ref="M82:M87" si="35">+M81</f>
        <v>37594.92</v>
      </c>
      <c r="N82" s="9">
        <f t="shared" si="33"/>
        <v>-129.66999999999825</v>
      </c>
      <c r="O82" s="9"/>
      <c r="P82" s="9"/>
    </row>
    <row r="83" spans="1:16" x14ac:dyDescent="0.25">
      <c r="A83" s="2">
        <f t="shared" ref="A83:A90" si="36">+A82+31</f>
        <v>44865</v>
      </c>
      <c r="B83" s="9">
        <f t="shared" si="34"/>
        <v>37465.25</v>
      </c>
      <c r="C83" s="9"/>
      <c r="D83" s="9"/>
      <c r="E83" s="9"/>
      <c r="F83" s="9"/>
      <c r="G83" s="9"/>
      <c r="H83" s="9"/>
      <c r="I83" s="9"/>
      <c r="J83" s="9"/>
      <c r="K83" s="9">
        <f t="shared" si="32"/>
        <v>37465.25</v>
      </c>
      <c r="M83" s="9">
        <f t="shared" si="35"/>
        <v>37594.92</v>
      </c>
      <c r="N83" s="9">
        <f t="shared" si="33"/>
        <v>-129.66999999999825</v>
      </c>
      <c r="O83" s="9"/>
      <c r="P83" s="9"/>
    </row>
    <row r="84" spans="1:16" x14ac:dyDescent="0.25">
      <c r="A84" s="2">
        <f>+A83+30</f>
        <v>44895</v>
      </c>
      <c r="B84" s="9">
        <f t="shared" si="34"/>
        <v>37465.25</v>
      </c>
      <c r="C84" s="9"/>
      <c r="D84" s="9"/>
      <c r="E84" s="9"/>
      <c r="F84" s="9"/>
      <c r="G84" s="9"/>
      <c r="H84" s="9"/>
      <c r="I84" s="9"/>
      <c r="J84" s="9"/>
      <c r="K84" s="9">
        <f t="shared" si="32"/>
        <v>37465.25</v>
      </c>
      <c r="M84" s="9">
        <f t="shared" si="35"/>
        <v>37594.92</v>
      </c>
      <c r="N84" s="9">
        <f t="shared" si="33"/>
        <v>-129.66999999999825</v>
      </c>
      <c r="O84" s="9"/>
      <c r="P84" s="9"/>
    </row>
    <row r="85" spans="1:16" x14ac:dyDescent="0.25">
      <c r="A85" s="2">
        <f t="shared" si="36"/>
        <v>44926</v>
      </c>
      <c r="B85" s="9">
        <f t="shared" si="34"/>
        <v>37465.25</v>
      </c>
      <c r="C85" s="9"/>
      <c r="D85" s="9"/>
      <c r="E85" s="9"/>
      <c r="F85" s="9"/>
      <c r="G85" s="9"/>
      <c r="H85" s="9"/>
      <c r="I85" s="9"/>
      <c r="J85" s="9"/>
      <c r="K85" s="9">
        <f t="shared" si="32"/>
        <v>37465.25</v>
      </c>
      <c r="M85" s="9">
        <f t="shared" si="35"/>
        <v>37594.92</v>
      </c>
      <c r="N85" s="9">
        <f t="shared" si="33"/>
        <v>-129.66999999999825</v>
      </c>
      <c r="O85" s="9"/>
      <c r="P85" s="9"/>
    </row>
    <row r="86" spans="1:16" x14ac:dyDescent="0.25">
      <c r="A86" s="2">
        <f t="shared" si="36"/>
        <v>44957</v>
      </c>
      <c r="B86" s="9">
        <f t="shared" si="34"/>
        <v>37465.25</v>
      </c>
      <c r="C86" s="9"/>
      <c r="D86" s="9"/>
      <c r="E86" s="9"/>
      <c r="F86" s="9"/>
      <c r="G86" s="9"/>
      <c r="H86" s="9"/>
      <c r="I86" s="9"/>
      <c r="J86" s="9"/>
      <c r="K86" s="9">
        <f t="shared" si="32"/>
        <v>37465.25</v>
      </c>
      <c r="M86" s="9">
        <f t="shared" si="35"/>
        <v>37594.92</v>
      </c>
      <c r="N86" s="9">
        <f t="shared" si="33"/>
        <v>-129.66999999999825</v>
      </c>
      <c r="O86" s="9"/>
      <c r="P86" s="9"/>
    </row>
    <row r="87" spans="1:16" x14ac:dyDescent="0.25">
      <c r="A87" s="2">
        <f>+A86+28</f>
        <v>44985</v>
      </c>
      <c r="B87" s="9">
        <f t="shared" si="34"/>
        <v>37465.25</v>
      </c>
      <c r="C87" s="9"/>
      <c r="D87" s="9"/>
      <c r="E87" s="9"/>
      <c r="F87" s="9"/>
      <c r="G87" s="9"/>
      <c r="H87" s="9"/>
      <c r="I87" s="9"/>
      <c r="J87" s="9"/>
      <c r="K87" s="9">
        <f t="shared" si="32"/>
        <v>37465.25</v>
      </c>
      <c r="M87" s="9">
        <f t="shared" si="35"/>
        <v>37594.92</v>
      </c>
      <c r="N87" s="9">
        <f t="shared" si="33"/>
        <v>-129.66999999999825</v>
      </c>
      <c r="O87" s="9"/>
      <c r="P87" s="9"/>
    </row>
    <row r="88" spans="1:16" x14ac:dyDescent="0.25">
      <c r="A88" s="2">
        <f t="shared" si="36"/>
        <v>45016</v>
      </c>
      <c r="B88" s="9">
        <f t="shared" si="34"/>
        <v>37465.25</v>
      </c>
      <c r="C88" s="9"/>
      <c r="D88" s="9">
        <v>-4291.09</v>
      </c>
      <c r="E88" s="9"/>
      <c r="F88" s="9"/>
      <c r="G88" s="9"/>
      <c r="H88" s="9"/>
      <c r="I88" s="9"/>
      <c r="J88" s="9"/>
      <c r="K88" s="9">
        <f t="shared" si="32"/>
        <v>33174.160000000003</v>
      </c>
      <c r="M88" s="9">
        <f>+M87-4291.09</f>
        <v>33303.83</v>
      </c>
      <c r="N88" s="9">
        <f t="shared" si="33"/>
        <v>-129.66999999999825</v>
      </c>
      <c r="O88" s="9"/>
      <c r="P88" s="9"/>
    </row>
    <row r="89" spans="1:16" x14ac:dyDescent="0.25">
      <c r="A89" s="2">
        <f>+A88+30</f>
        <v>45046</v>
      </c>
      <c r="B89" s="9">
        <f t="shared" si="34"/>
        <v>33174.160000000003</v>
      </c>
      <c r="C89" s="9"/>
      <c r="D89" s="9"/>
      <c r="E89" s="9"/>
      <c r="F89" s="9"/>
      <c r="G89" s="9"/>
      <c r="H89" s="9"/>
      <c r="I89" s="9"/>
      <c r="J89" s="9"/>
      <c r="K89" s="9">
        <f t="shared" si="32"/>
        <v>33174.160000000003</v>
      </c>
      <c r="M89" s="9">
        <f>+M88</f>
        <v>33303.83</v>
      </c>
      <c r="N89" s="9">
        <f t="shared" si="33"/>
        <v>-129.66999999999825</v>
      </c>
      <c r="O89" s="9"/>
    </row>
    <row r="90" spans="1:16" x14ac:dyDescent="0.25">
      <c r="A90" s="2">
        <f t="shared" si="36"/>
        <v>45077</v>
      </c>
      <c r="B90" s="9">
        <f t="shared" si="34"/>
        <v>33174.160000000003</v>
      </c>
      <c r="C90" s="9"/>
      <c r="D90" s="9">
        <v>-17882.73</v>
      </c>
      <c r="E90" s="9"/>
      <c r="F90" s="9"/>
      <c r="G90" s="9"/>
      <c r="H90" s="9"/>
      <c r="I90" s="9"/>
      <c r="J90" s="9"/>
      <c r="K90" s="9">
        <f t="shared" si="32"/>
        <v>15291.430000000004</v>
      </c>
      <c r="M90" s="9">
        <f>+M89-17882.73</f>
        <v>15421.100000000002</v>
      </c>
      <c r="N90" s="9">
        <f t="shared" si="33"/>
        <v>-129.66999999999825</v>
      </c>
      <c r="O90" s="9"/>
      <c r="P90" s="9"/>
    </row>
    <row r="91" spans="1:16" x14ac:dyDescent="0.25">
      <c r="A91" s="2">
        <f>+A90+30</f>
        <v>45107</v>
      </c>
      <c r="B91" s="9">
        <f t="shared" si="34"/>
        <v>15291.430000000004</v>
      </c>
      <c r="C91" s="9"/>
      <c r="D91" s="9">
        <v>-3036.07</v>
      </c>
      <c r="E91" s="9"/>
      <c r="F91" s="9"/>
      <c r="G91" s="9"/>
      <c r="H91" s="9"/>
      <c r="I91" s="9"/>
      <c r="J91" s="9"/>
      <c r="K91" s="9">
        <f>SUM(B91:J91)</f>
        <v>12255.360000000004</v>
      </c>
      <c r="M91" s="9">
        <f>+M90-3036.07</f>
        <v>12385.030000000002</v>
      </c>
      <c r="N91" s="16">
        <f t="shared" si="33"/>
        <v>-129.66999999999825</v>
      </c>
      <c r="O91" s="13"/>
      <c r="P91" s="9"/>
    </row>
    <row r="92" spans="1:16" ht="15.75" thickBot="1" x14ac:dyDescent="0.3">
      <c r="A92" t="s">
        <v>16</v>
      </c>
      <c r="B92" s="9">
        <f>+B80</f>
        <v>37465.25</v>
      </c>
      <c r="C92" s="18">
        <f t="shared" ref="C92:J92" si="37">SUM(C80:C91)</f>
        <v>0</v>
      </c>
      <c r="D92" s="18">
        <f t="shared" si="37"/>
        <v>-25209.89</v>
      </c>
      <c r="E92" s="18">
        <f t="shared" si="37"/>
        <v>0</v>
      </c>
      <c r="F92" s="18">
        <f t="shared" si="37"/>
        <v>0</v>
      </c>
      <c r="G92" s="18">
        <f t="shared" si="37"/>
        <v>0</v>
      </c>
      <c r="H92" s="18">
        <f t="shared" si="37"/>
        <v>0</v>
      </c>
      <c r="I92" s="18">
        <f t="shared" si="37"/>
        <v>0</v>
      </c>
      <c r="J92" s="18">
        <f t="shared" si="37"/>
        <v>0</v>
      </c>
      <c r="K92" s="18">
        <f>+K91</f>
        <v>12255.360000000004</v>
      </c>
      <c r="M92" s="9"/>
      <c r="N92" s="5"/>
      <c r="O92" s="5"/>
      <c r="P92" s="5"/>
    </row>
    <row r="93" spans="1:16" ht="15.75" thickTop="1" x14ac:dyDescent="0.25">
      <c r="B93" s="9"/>
      <c r="C93" s="20"/>
      <c r="D93" s="20"/>
      <c r="E93" s="20"/>
      <c r="F93" s="20"/>
      <c r="G93" s="20"/>
      <c r="H93" s="20"/>
      <c r="I93" s="20"/>
      <c r="J93" s="20"/>
      <c r="K93" s="20"/>
      <c r="M93" s="9"/>
      <c r="N93" s="5"/>
      <c r="O93" s="5"/>
      <c r="P93" s="5"/>
    </row>
    <row r="94" spans="1:16" ht="18.75" x14ac:dyDescent="0.25">
      <c r="A94" s="23">
        <v>2018</v>
      </c>
      <c r="H94" s="5"/>
      <c r="I94" s="5"/>
      <c r="J94" s="5"/>
      <c r="K94" s="5"/>
      <c r="N94" s="9"/>
      <c r="O94" s="9"/>
      <c r="P94" s="9"/>
    </row>
    <row r="95" spans="1:16" x14ac:dyDescent="0.25">
      <c r="A95" s="33" t="s">
        <v>27</v>
      </c>
      <c r="M95" s="32" t="s">
        <v>32</v>
      </c>
    </row>
    <row r="96" spans="1:16" x14ac:dyDescent="0.25">
      <c r="C96" s="10" t="s">
        <v>19</v>
      </c>
      <c r="D96" s="10" t="s">
        <v>20</v>
      </c>
      <c r="E96" s="10" t="s">
        <v>19</v>
      </c>
      <c r="F96" s="10" t="s">
        <v>19</v>
      </c>
      <c r="G96" s="10" t="s">
        <v>20</v>
      </c>
      <c r="H96" s="10" t="s">
        <v>20</v>
      </c>
      <c r="I96" s="10" t="s">
        <v>21</v>
      </c>
      <c r="J96" s="10" t="s">
        <v>20</v>
      </c>
      <c r="K96" s="7" t="s">
        <v>10</v>
      </c>
      <c r="L96" s="7"/>
      <c r="M96" s="7" t="s">
        <v>9</v>
      </c>
    </row>
    <row r="97" spans="1:16" x14ac:dyDescent="0.25">
      <c r="B97" s="4" t="s">
        <v>1</v>
      </c>
      <c r="C97" s="6" t="s">
        <v>2</v>
      </c>
      <c r="D97" s="6" t="s">
        <v>3</v>
      </c>
      <c r="E97" s="6" t="s">
        <v>12</v>
      </c>
      <c r="F97" s="6" t="s">
        <v>4</v>
      </c>
      <c r="G97" s="6" t="s">
        <v>5</v>
      </c>
      <c r="H97" s="6" t="s">
        <v>13</v>
      </c>
      <c r="I97" s="6" t="s">
        <v>6</v>
      </c>
      <c r="J97" s="6" t="s">
        <v>7</v>
      </c>
      <c r="K97" s="6" t="s">
        <v>8</v>
      </c>
      <c r="L97" s="7"/>
      <c r="M97" s="6" t="s">
        <v>8</v>
      </c>
      <c r="N97" s="6" t="s">
        <v>14</v>
      </c>
      <c r="O97" s="7"/>
      <c r="P97" s="7"/>
    </row>
    <row r="98" spans="1:16" x14ac:dyDescent="0.25">
      <c r="A98" s="2">
        <v>44773</v>
      </c>
      <c r="B98" s="9">
        <v>12753.970000000001</v>
      </c>
      <c r="C98" s="9"/>
      <c r="D98" s="9"/>
      <c r="E98" s="9"/>
      <c r="F98" s="9"/>
      <c r="G98" s="9"/>
      <c r="H98" s="9"/>
      <c r="I98" s="9"/>
      <c r="J98" s="9"/>
      <c r="K98" s="9">
        <f>SUM(B98:J98)</f>
        <v>12753.970000000001</v>
      </c>
      <c r="M98" s="9">
        <v>12753.97</v>
      </c>
      <c r="N98" s="9">
        <f>+K98-M98</f>
        <v>0</v>
      </c>
      <c r="O98" s="9"/>
      <c r="P98" s="9"/>
    </row>
    <row r="99" spans="1:16" x14ac:dyDescent="0.25">
      <c r="A99" s="2">
        <f>+A98+31</f>
        <v>44804</v>
      </c>
      <c r="B99" s="9">
        <f>+K98</f>
        <v>12753.970000000001</v>
      </c>
      <c r="C99" s="9"/>
      <c r="D99" s="9"/>
      <c r="E99" s="9"/>
      <c r="F99" s="9"/>
      <c r="G99" s="9"/>
      <c r="H99" s="9"/>
      <c r="I99" s="9"/>
      <c r="J99" s="9"/>
      <c r="K99" s="9">
        <f t="shared" ref="K99:K108" si="38">SUM(B99:J99)</f>
        <v>12753.970000000001</v>
      </c>
      <c r="M99" s="9">
        <f>+M98</f>
        <v>12753.97</v>
      </c>
      <c r="N99" s="9">
        <f t="shared" ref="N99:N109" si="39">+K99-M99</f>
        <v>0</v>
      </c>
      <c r="O99" s="9"/>
      <c r="P99" s="9"/>
    </row>
    <row r="100" spans="1:16" x14ac:dyDescent="0.25">
      <c r="A100" s="2">
        <f>+A99+30</f>
        <v>44834</v>
      </c>
      <c r="B100" s="9">
        <f t="shared" ref="B100:B109" si="40">+K99</f>
        <v>12753.970000000001</v>
      </c>
      <c r="C100" s="9"/>
      <c r="D100" s="9"/>
      <c r="E100" s="9"/>
      <c r="F100" s="9"/>
      <c r="G100" s="9"/>
      <c r="H100" s="9"/>
      <c r="I100" s="9"/>
      <c r="J100" s="9"/>
      <c r="K100" s="9">
        <f t="shared" si="38"/>
        <v>12753.970000000001</v>
      </c>
      <c r="M100" s="9">
        <f t="shared" ref="M100:M107" si="41">+M99</f>
        <v>12753.97</v>
      </c>
      <c r="N100" s="9">
        <f t="shared" si="39"/>
        <v>0</v>
      </c>
      <c r="O100" s="9"/>
      <c r="P100" s="9"/>
    </row>
    <row r="101" spans="1:16" x14ac:dyDescent="0.25">
      <c r="A101" s="2">
        <f t="shared" ref="A101:A108" si="42">+A100+31</f>
        <v>44865</v>
      </c>
      <c r="B101" s="9">
        <f t="shared" si="40"/>
        <v>12753.970000000001</v>
      </c>
      <c r="C101" s="9"/>
      <c r="D101" s="9"/>
      <c r="E101" s="9"/>
      <c r="F101" s="9"/>
      <c r="G101" s="9"/>
      <c r="H101" s="9"/>
      <c r="I101" s="9"/>
      <c r="J101" s="9"/>
      <c r="K101" s="9">
        <f t="shared" si="38"/>
        <v>12753.970000000001</v>
      </c>
      <c r="M101" s="9">
        <f t="shared" si="41"/>
        <v>12753.97</v>
      </c>
      <c r="N101" s="9">
        <f t="shared" si="39"/>
        <v>0</v>
      </c>
      <c r="O101" s="9"/>
      <c r="P101" s="9"/>
    </row>
    <row r="102" spans="1:16" x14ac:dyDescent="0.25">
      <c r="A102" s="2">
        <f>+A101+30</f>
        <v>44895</v>
      </c>
      <c r="B102" s="9">
        <f t="shared" si="40"/>
        <v>12753.970000000001</v>
      </c>
      <c r="C102" s="9"/>
      <c r="D102" s="9"/>
      <c r="E102" s="9"/>
      <c r="F102" s="9"/>
      <c r="G102" s="9"/>
      <c r="H102" s="9"/>
      <c r="I102" s="9"/>
      <c r="J102" s="9"/>
      <c r="K102" s="9">
        <f t="shared" si="38"/>
        <v>12753.970000000001</v>
      </c>
      <c r="M102" s="9">
        <f t="shared" si="41"/>
        <v>12753.97</v>
      </c>
      <c r="N102" s="9">
        <f t="shared" si="39"/>
        <v>0</v>
      </c>
      <c r="O102" s="9"/>
      <c r="P102" s="9"/>
    </row>
    <row r="103" spans="1:16" x14ac:dyDescent="0.25">
      <c r="A103" s="2">
        <f t="shared" si="42"/>
        <v>44926</v>
      </c>
      <c r="B103" s="9">
        <f t="shared" si="40"/>
        <v>12753.970000000001</v>
      </c>
      <c r="C103" s="9"/>
      <c r="D103" s="9"/>
      <c r="E103" s="9"/>
      <c r="F103" s="9"/>
      <c r="G103" s="9"/>
      <c r="H103" s="9"/>
      <c r="I103" s="9"/>
      <c r="J103" s="9"/>
      <c r="K103" s="9">
        <f t="shared" si="38"/>
        <v>12753.970000000001</v>
      </c>
      <c r="M103" s="9">
        <f t="shared" si="41"/>
        <v>12753.97</v>
      </c>
      <c r="N103" s="9">
        <f t="shared" si="39"/>
        <v>0</v>
      </c>
      <c r="O103" s="9"/>
      <c r="P103" s="9"/>
    </row>
    <row r="104" spans="1:16" x14ac:dyDescent="0.25">
      <c r="A104" s="2">
        <f t="shared" si="42"/>
        <v>44957</v>
      </c>
      <c r="B104" s="9">
        <f t="shared" si="40"/>
        <v>12753.970000000001</v>
      </c>
      <c r="C104" s="9"/>
      <c r="D104" s="9"/>
      <c r="E104" s="9"/>
      <c r="F104" s="9"/>
      <c r="G104" s="9"/>
      <c r="H104" s="9"/>
      <c r="I104" s="9"/>
      <c r="J104" s="9"/>
      <c r="K104" s="9">
        <f t="shared" si="38"/>
        <v>12753.970000000001</v>
      </c>
      <c r="M104" s="9">
        <f t="shared" si="41"/>
        <v>12753.97</v>
      </c>
      <c r="N104" s="9">
        <f t="shared" si="39"/>
        <v>0</v>
      </c>
      <c r="O104" s="9"/>
      <c r="P104" s="9"/>
    </row>
    <row r="105" spans="1:16" x14ac:dyDescent="0.25">
      <c r="A105" s="2">
        <f>+A104+28</f>
        <v>44985</v>
      </c>
      <c r="B105" s="9">
        <f t="shared" si="40"/>
        <v>12753.970000000001</v>
      </c>
      <c r="C105" s="9"/>
      <c r="D105" s="9"/>
      <c r="E105" s="9"/>
      <c r="F105" s="9"/>
      <c r="G105" s="9"/>
      <c r="H105" s="9"/>
      <c r="I105" s="9"/>
      <c r="J105" s="9"/>
      <c r="K105" s="9">
        <f t="shared" si="38"/>
        <v>12753.970000000001</v>
      </c>
      <c r="M105" s="9">
        <f t="shared" si="41"/>
        <v>12753.97</v>
      </c>
      <c r="N105" s="9">
        <f t="shared" si="39"/>
        <v>0</v>
      </c>
      <c r="O105" s="9"/>
      <c r="P105" s="9"/>
    </row>
    <row r="106" spans="1:16" x14ac:dyDescent="0.25">
      <c r="A106" s="2">
        <f t="shared" si="42"/>
        <v>45016</v>
      </c>
      <c r="B106" s="9">
        <f t="shared" si="40"/>
        <v>12753.970000000001</v>
      </c>
      <c r="C106" s="9"/>
      <c r="D106" s="9"/>
      <c r="E106" s="9"/>
      <c r="F106" s="9"/>
      <c r="G106" s="9"/>
      <c r="H106" s="9"/>
      <c r="I106" s="9"/>
      <c r="J106" s="9"/>
      <c r="K106" s="9">
        <f t="shared" si="38"/>
        <v>12753.970000000001</v>
      </c>
      <c r="M106" s="9">
        <f t="shared" si="41"/>
        <v>12753.97</v>
      </c>
      <c r="N106" s="9">
        <f t="shared" si="39"/>
        <v>0</v>
      </c>
      <c r="O106" s="9"/>
      <c r="P106" s="9"/>
    </row>
    <row r="107" spans="1:16" x14ac:dyDescent="0.25">
      <c r="A107" s="2">
        <f>+A106+30</f>
        <v>45046</v>
      </c>
      <c r="B107" s="9">
        <f t="shared" si="40"/>
        <v>12753.970000000001</v>
      </c>
      <c r="C107" s="9"/>
      <c r="D107" s="9"/>
      <c r="E107" s="9"/>
      <c r="F107" s="9"/>
      <c r="G107" s="9"/>
      <c r="H107" s="9"/>
      <c r="I107" s="9"/>
      <c r="J107" s="9"/>
      <c r="K107" s="9">
        <f t="shared" si="38"/>
        <v>12753.970000000001</v>
      </c>
      <c r="M107" s="9">
        <f t="shared" si="41"/>
        <v>12753.97</v>
      </c>
      <c r="N107" s="9">
        <f t="shared" si="39"/>
        <v>0</v>
      </c>
      <c r="O107" s="9"/>
    </row>
    <row r="108" spans="1:16" x14ac:dyDescent="0.25">
      <c r="A108" s="2">
        <f t="shared" si="42"/>
        <v>45077</v>
      </c>
      <c r="B108" s="9">
        <f t="shared" si="40"/>
        <v>12753.970000000001</v>
      </c>
      <c r="C108" s="9"/>
      <c r="D108" s="9">
        <v>-12753.97</v>
      </c>
      <c r="E108" s="9"/>
      <c r="F108" s="9"/>
      <c r="G108" s="9"/>
      <c r="H108" s="9"/>
      <c r="I108" s="9"/>
      <c r="J108" s="9"/>
      <c r="K108" s="9">
        <f t="shared" si="38"/>
        <v>0</v>
      </c>
      <c r="M108" s="9">
        <v>0</v>
      </c>
      <c r="N108" s="9">
        <f t="shared" si="39"/>
        <v>0</v>
      </c>
      <c r="O108" s="9"/>
      <c r="P108" s="9"/>
    </row>
    <row r="109" spans="1:16" x14ac:dyDescent="0.25">
      <c r="A109" s="2">
        <f>+A108+30</f>
        <v>45107</v>
      </c>
      <c r="B109" s="9">
        <f t="shared" si="40"/>
        <v>0</v>
      </c>
      <c r="C109" s="9"/>
      <c r="D109" s="9"/>
      <c r="E109" s="9"/>
      <c r="F109" s="9"/>
      <c r="G109" s="9"/>
      <c r="H109" s="9"/>
      <c r="I109" s="9"/>
      <c r="J109" s="9"/>
      <c r="K109" s="9">
        <f>SUM(B109:J109)</f>
        <v>0</v>
      </c>
      <c r="M109" s="9">
        <v>0</v>
      </c>
      <c r="N109" s="16">
        <f t="shared" si="39"/>
        <v>0</v>
      </c>
      <c r="O109" s="13"/>
      <c r="P109" s="9"/>
    </row>
    <row r="110" spans="1:16" ht="15.75" thickBot="1" x14ac:dyDescent="0.3">
      <c r="A110" t="s">
        <v>16</v>
      </c>
      <c r="B110" s="9">
        <f>+B98</f>
        <v>12753.970000000001</v>
      </c>
      <c r="C110" s="18">
        <f t="shared" ref="C110:J110" si="43">SUM(C98:C109)</f>
        <v>0</v>
      </c>
      <c r="D110" s="18">
        <f t="shared" si="43"/>
        <v>-12753.97</v>
      </c>
      <c r="E110" s="18">
        <f t="shared" si="43"/>
        <v>0</v>
      </c>
      <c r="F110" s="18">
        <f t="shared" si="43"/>
        <v>0</v>
      </c>
      <c r="G110" s="18">
        <f t="shared" si="43"/>
        <v>0</v>
      </c>
      <c r="H110" s="18">
        <f t="shared" si="43"/>
        <v>0</v>
      </c>
      <c r="I110" s="18">
        <f t="shared" si="43"/>
        <v>0</v>
      </c>
      <c r="J110" s="18">
        <f t="shared" si="43"/>
        <v>0</v>
      </c>
      <c r="K110" s="18">
        <f>+K109</f>
        <v>0</v>
      </c>
      <c r="M110" s="9"/>
      <c r="N110" s="5"/>
      <c r="O110" s="5"/>
      <c r="P110" s="5"/>
    </row>
    <row r="111" spans="1:16" ht="15.75" thickTop="1" x14ac:dyDescent="0.25"/>
    <row r="112" spans="1:16" ht="18.75" x14ac:dyDescent="0.25">
      <c r="A112" s="23">
        <v>2017</v>
      </c>
      <c r="H112" s="5"/>
      <c r="I112" s="5"/>
      <c r="J112" s="5"/>
      <c r="N112" s="9"/>
      <c r="O112" s="9"/>
      <c r="P112" s="9"/>
    </row>
    <row r="113" spans="1:16" x14ac:dyDescent="0.25">
      <c r="A113" s="33" t="s">
        <v>28</v>
      </c>
      <c r="M113" s="32" t="s">
        <v>33</v>
      </c>
    </row>
    <row r="114" spans="1:16" x14ac:dyDescent="0.25">
      <c r="C114" s="10" t="s">
        <v>19</v>
      </c>
      <c r="D114" s="10" t="s">
        <v>20</v>
      </c>
      <c r="E114" s="10" t="s">
        <v>19</v>
      </c>
      <c r="F114" s="10" t="s">
        <v>19</v>
      </c>
      <c r="G114" s="10" t="s">
        <v>20</v>
      </c>
      <c r="H114" s="10" t="s">
        <v>20</v>
      </c>
      <c r="I114" s="10" t="s">
        <v>21</v>
      </c>
      <c r="J114" s="10" t="s">
        <v>20</v>
      </c>
      <c r="K114" s="7" t="s">
        <v>10</v>
      </c>
      <c r="L114" s="7"/>
      <c r="M114" s="7" t="s">
        <v>9</v>
      </c>
    </row>
    <row r="115" spans="1:16" x14ac:dyDescent="0.25">
      <c r="B115" s="4" t="s">
        <v>1</v>
      </c>
      <c r="C115" s="6" t="s">
        <v>2</v>
      </c>
      <c r="D115" s="6" t="s">
        <v>3</v>
      </c>
      <c r="E115" s="6" t="s">
        <v>12</v>
      </c>
      <c r="F115" s="6" t="s">
        <v>4</v>
      </c>
      <c r="G115" s="6" t="s">
        <v>5</v>
      </c>
      <c r="H115" s="6" t="s">
        <v>13</v>
      </c>
      <c r="I115" s="6" t="s">
        <v>6</v>
      </c>
      <c r="J115" s="6" t="s">
        <v>7</v>
      </c>
      <c r="K115" s="6" t="s">
        <v>8</v>
      </c>
      <c r="L115" s="7"/>
      <c r="M115" s="6" t="s">
        <v>8</v>
      </c>
      <c r="N115" s="6" t="s">
        <v>14</v>
      </c>
      <c r="O115" s="7"/>
      <c r="P115" s="7"/>
    </row>
    <row r="116" spans="1:16" x14ac:dyDescent="0.25">
      <c r="A116" s="2">
        <v>44773</v>
      </c>
      <c r="B116" s="9">
        <v>3183.5400000000009</v>
      </c>
      <c r="C116" s="9"/>
      <c r="D116" s="9"/>
      <c r="E116" s="9"/>
      <c r="F116" s="9"/>
      <c r="G116" s="9"/>
      <c r="H116" s="9"/>
      <c r="I116" s="9"/>
      <c r="J116" s="9"/>
      <c r="K116" s="9">
        <f>SUM(B116:J116)</f>
        <v>3183.5400000000009</v>
      </c>
      <c r="M116" s="9">
        <v>3183.54</v>
      </c>
      <c r="N116" s="9">
        <f>+K116-M116</f>
        <v>0</v>
      </c>
      <c r="O116" s="9"/>
      <c r="P116" s="9"/>
    </row>
    <row r="117" spans="1:16" x14ac:dyDescent="0.25">
      <c r="A117" s="2">
        <f>+A116+31</f>
        <v>44804</v>
      </c>
      <c r="B117" s="9">
        <f>+K116</f>
        <v>3183.5400000000009</v>
      </c>
      <c r="C117" s="9"/>
      <c r="D117" s="9"/>
      <c r="E117" s="9"/>
      <c r="F117" s="9"/>
      <c r="G117" s="9"/>
      <c r="H117" s="9"/>
      <c r="I117" s="9"/>
      <c r="J117" s="9"/>
      <c r="K117" s="9">
        <f t="shared" ref="K117:K126" si="44">SUM(B117:J117)</f>
        <v>3183.5400000000009</v>
      </c>
      <c r="M117" s="9">
        <f>+M116</f>
        <v>3183.54</v>
      </c>
      <c r="N117" s="9">
        <f t="shared" ref="N117:N127" si="45">+K117-M117</f>
        <v>0</v>
      </c>
      <c r="O117" s="9"/>
      <c r="P117" s="9"/>
    </row>
    <row r="118" spans="1:16" x14ac:dyDescent="0.25">
      <c r="A118" s="2">
        <f>+A117+30</f>
        <v>44834</v>
      </c>
      <c r="B118" s="9">
        <f t="shared" ref="B118:B127" si="46">+K117</f>
        <v>3183.5400000000009</v>
      </c>
      <c r="C118" s="9"/>
      <c r="D118" s="9"/>
      <c r="E118" s="9"/>
      <c r="F118" s="9"/>
      <c r="G118" s="9"/>
      <c r="H118" s="9"/>
      <c r="I118" s="9"/>
      <c r="J118" s="9"/>
      <c r="K118" s="9">
        <f t="shared" si="44"/>
        <v>3183.5400000000009</v>
      </c>
      <c r="M118" s="9">
        <f t="shared" ref="M118:M125" si="47">+M117</f>
        <v>3183.54</v>
      </c>
      <c r="N118" s="9">
        <f t="shared" si="45"/>
        <v>0</v>
      </c>
      <c r="O118" s="9"/>
      <c r="P118" s="9"/>
    </row>
    <row r="119" spans="1:16" x14ac:dyDescent="0.25">
      <c r="A119" s="2">
        <f t="shared" ref="A119:A126" si="48">+A118+31</f>
        <v>44865</v>
      </c>
      <c r="B119" s="9">
        <f t="shared" si="46"/>
        <v>3183.5400000000009</v>
      </c>
      <c r="C119" s="9"/>
      <c r="D119" s="9"/>
      <c r="E119" s="9"/>
      <c r="F119" s="9"/>
      <c r="G119" s="9"/>
      <c r="H119" s="9"/>
      <c r="I119" s="9"/>
      <c r="J119" s="9"/>
      <c r="K119" s="9">
        <f t="shared" si="44"/>
        <v>3183.5400000000009</v>
      </c>
      <c r="M119" s="9">
        <f t="shared" si="47"/>
        <v>3183.54</v>
      </c>
      <c r="N119" s="9">
        <f t="shared" si="45"/>
        <v>0</v>
      </c>
      <c r="O119" s="9"/>
      <c r="P119" s="9"/>
    </row>
    <row r="120" spans="1:16" x14ac:dyDescent="0.25">
      <c r="A120" s="2">
        <f>+A119+30</f>
        <v>44895</v>
      </c>
      <c r="B120" s="9">
        <f t="shared" si="46"/>
        <v>3183.5400000000009</v>
      </c>
      <c r="C120" s="9"/>
      <c r="D120" s="9"/>
      <c r="E120" s="9"/>
      <c r="F120" s="9"/>
      <c r="G120" s="9"/>
      <c r="H120" s="9"/>
      <c r="I120" s="9"/>
      <c r="J120" s="9"/>
      <c r="K120" s="9">
        <f t="shared" si="44"/>
        <v>3183.5400000000009</v>
      </c>
      <c r="M120" s="9">
        <f t="shared" si="47"/>
        <v>3183.54</v>
      </c>
      <c r="N120" s="9">
        <f t="shared" si="45"/>
        <v>0</v>
      </c>
      <c r="O120" s="9"/>
      <c r="P120" s="9"/>
    </row>
    <row r="121" spans="1:16" x14ac:dyDescent="0.25">
      <c r="A121" s="2">
        <f t="shared" si="48"/>
        <v>44926</v>
      </c>
      <c r="B121" s="9">
        <f t="shared" si="46"/>
        <v>3183.5400000000009</v>
      </c>
      <c r="C121" s="9"/>
      <c r="D121" s="9"/>
      <c r="E121" s="9"/>
      <c r="F121" s="9"/>
      <c r="G121" s="9"/>
      <c r="H121" s="9"/>
      <c r="I121" s="9"/>
      <c r="J121" s="9"/>
      <c r="K121" s="9">
        <f t="shared" si="44"/>
        <v>3183.5400000000009</v>
      </c>
      <c r="M121" s="9">
        <f t="shared" si="47"/>
        <v>3183.54</v>
      </c>
      <c r="N121" s="9">
        <f t="shared" si="45"/>
        <v>0</v>
      </c>
      <c r="O121" s="9"/>
      <c r="P121" s="9"/>
    </row>
    <row r="122" spans="1:16" x14ac:dyDescent="0.25">
      <c r="A122" s="2">
        <f t="shared" si="48"/>
        <v>44957</v>
      </c>
      <c r="B122" s="9">
        <f t="shared" si="46"/>
        <v>3183.5400000000009</v>
      </c>
      <c r="C122" s="9"/>
      <c r="D122" s="9"/>
      <c r="E122" s="9"/>
      <c r="F122" s="9"/>
      <c r="G122" s="9"/>
      <c r="H122" s="9"/>
      <c r="I122" s="9"/>
      <c r="J122" s="9"/>
      <c r="K122" s="9">
        <f t="shared" si="44"/>
        <v>3183.5400000000009</v>
      </c>
      <c r="M122" s="9">
        <f t="shared" si="47"/>
        <v>3183.54</v>
      </c>
      <c r="N122" s="9">
        <f t="shared" si="45"/>
        <v>0</v>
      </c>
      <c r="O122" s="9"/>
      <c r="P122" s="9"/>
    </row>
    <row r="123" spans="1:16" x14ac:dyDescent="0.25">
      <c r="A123" s="2">
        <f>+A122+28</f>
        <v>44985</v>
      </c>
      <c r="B123" s="9">
        <f t="shared" si="46"/>
        <v>3183.5400000000009</v>
      </c>
      <c r="C123" s="9"/>
      <c r="D123" s="9"/>
      <c r="E123" s="9"/>
      <c r="F123" s="9"/>
      <c r="G123" s="9"/>
      <c r="H123" s="9"/>
      <c r="I123" s="9"/>
      <c r="J123" s="9"/>
      <c r="K123" s="9">
        <f t="shared" si="44"/>
        <v>3183.5400000000009</v>
      </c>
      <c r="M123" s="9">
        <f t="shared" si="47"/>
        <v>3183.54</v>
      </c>
      <c r="N123" s="9">
        <f t="shared" si="45"/>
        <v>0</v>
      </c>
      <c r="O123" s="9"/>
      <c r="P123" s="9"/>
    </row>
    <row r="124" spans="1:16" x14ac:dyDescent="0.25">
      <c r="A124" s="2">
        <f t="shared" si="48"/>
        <v>45016</v>
      </c>
      <c r="B124" s="9">
        <f t="shared" si="46"/>
        <v>3183.5400000000009</v>
      </c>
      <c r="C124" s="9"/>
      <c r="D124" s="9"/>
      <c r="E124" s="9"/>
      <c r="F124" s="9"/>
      <c r="G124" s="9"/>
      <c r="H124" s="9"/>
      <c r="I124" s="9"/>
      <c r="J124" s="9"/>
      <c r="K124" s="9">
        <f t="shared" si="44"/>
        <v>3183.5400000000009</v>
      </c>
      <c r="M124" s="9">
        <f t="shared" si="47"/>
        <v>3183.54</v>
      </c>
      <c r="N124" s="9">
        <f t="shared" si="45"/>
        <v>0</v>
      </c>
      <c r="O124" s="9"/>
      <c r="P124" s="9"/>
    </row>
    <row r="125" spans="1:16" x14ac:dyDescent="0.25">
      <c r="A125" s="2">
        <f>+A124+30</f>
        <v>45046</v>
      </c>
      <c r="B125" s="9">
        <f t="shared" si="46"/>
        <v>3183.5400000000009</v>
      </c>
      <c r="C125" s="9"/>
      <c r="D125" s="9"/>
      <c r="E125" s="9"/>
      <c r="F125" s="9"/>
      <c r="G125" s="9"/>
      <c r="H125" s="9"/>
      <c r="I125" s="9"/>
      <c r="J125" s="9"/>
      <c r="K125" s="9">
        <f t="shared" si="44"/>
        <v>3183.5400000000009</v>
      </c>
      <c r="M125" s="9">
        <f t="shared" si="47"/>
        <v>3183.54</v>
      </c>
      <c r="N125" s="9">
        <f t="shared" si="45"/>
        <v>0</v>
      </c>
      <c r="O125" s="9"/>
    </row>
    <row r="126" spans="1:16" x14ac:dyDescent="0.25">
      <c r="A126" s="2">
        <f t="shared" si="48"/>
        <v>45077</v>
      </c>
      <c r="B126" s="9">
        <f t="shared" si="46"/>
        <v>3183.5400000000009</v>
      </c>
      <c r="C126" s="9"/>
      <c r="D126" s="9">
        <v>-3163.95</v>
      </c>
      <c r="E126" s="9"/>
      <c r="F126" s="9"/>
      <c r="G126" s="9"/>
      <c r="H126" s="9"/>
      <c r="I126" s="9"/>
      <c r="J126" s="9"/>
      <c r="K126" s="9">
        <f t="shared" si="44"/>
        <v>19.590000000001055</v>
      </c>
      <c r="M126" s="9">
        <v>19.59</v>
      </c>
      <c r="N126" s="9">
        <f t="shared" si="45"/>
        <v>1.0551559626037488E-12</v>
      </c>
      <c r="O126" s="9"/>
      <c r="P126" s="9"/>
    </row>
    <row r="127" spans="1:16" x14ac:dyDescent="0.25">
      <c r="A127" s="2">
        <f>+A126+30</f>
        <v>45107</v>
      </c>
      <c r="B127" s="9">
        <f t="shared" si="46"/>
        <v>19.590000000001055</v>
      </c>
      <c r="C127" s="9"/>
      <c r="D127" s="9"/>
      <c r="E127" s="9"/>
      <c r="F127" s="9"/>
      <c r="G127" s="9"/>
      <c r="H127" s="9"/>
      <c r="I127" s="9"/>
      <c r="J127" s="9"/>
      <c r="K127" s="9">
        <f>SUM(B127:J127)</f>
        <v>19.590000000001055</v>
      </c>
      <c r="M127" s="9">
        <f>+M126</f>
        <v>19.59</v>
      </c>
      <c r="N127" s="16">
        <f t="shared" si="45"/>
        <v>1.0551559626037488E-12</v>
      </c>
      <c r="O127" s="13"/>
      <c r="P127" s="9"/>
    </row>
    <row r="128" spans="1:16" ht="15.75" thickBot="1" x14ac:dyDescent="0.3">
      <c r="A128" t="s">
        <v>16</v>
      </c>
      <c r="B128" s="9">
        <f>+B116</f>
        <v>3183.5400000000009</v>
      </c>
      <c r="C128" s="18">
        <f t="shared" ref="C128:J128" si="49">SUM(C116:C127)</f>
        <v>0</v>
      </c>
      <c r="D128" s="18">
        <f t="shared" si="49"/>
        <v>-3163.95</v>
      </c>
      <c r="E128" s="18">
        <f t="shared" si="49"/>
        <v>0</v>
      </c>
      <c r="F128" s="18">
        <f t="shared" si="49"/>
        <v>0</v>
      </c>
      <c r="G128" s="18">
        <f t="shared" si="49"/>
        <v>0</v>
      </c>
      <c r="H128" s="18">
        <f t="shared" si="49"/>
        <v>0</v>
      </c>
      <c r="I128" s="18">
        <f t="shared" si="49"/>
        <v>0</v>
      </c>
      <c r="J128" s="18">
        <f t="shared" si="49"/>
        <v>0</v>
      </c>
      <c r="K128" s="18">
        <f>+K127</f>
        <v>19.590000000001055</v>
      </c>
      <c r="M128" s="9"/>
      <c r="N128" s="5"/>
      <c r="O128" s="5"/>
      <c r="P128" s="5"/>
    </row>
    <row r="129" ht="15.75" thickTop="1" x14ac:dyDescent="0.25"/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3:P21"/>
  <sheetViews>
    <sheetView zoomScaleNormal="100" zoomScaleSheetLayoutView="70" workbookViewId="0">
      <pane ySplit="1" topLeftCell="A2" activePane="bottomLeft" state="frozen"/>
      <selection activeCell="O26" sqref="O26:P26"/>
      <selection pane="bottomLeft" activeCell="M19" sqref="M19"/>
    </sheetView>
  </sheetViews>
  <sheetFormatPr defaultRowHeight="15" x14ac:dyDescent="0.25"/>
  <cols>
    <col min="1" max="1" width="13.28515625" customWidth="1"/>
    <col min="2" max="2" width="12.140625" bestFit="1" customWidth="1"/>
    <col min="3" max="3" width="14.85546875" bestFit="1" customWidth="1"/>
    <col min="4" max="4" width="12.28515625" bestFit="1" customWidth="1"/>
    <col min="5" max="5" width="14.140625" bestFit="1" customWidth="1"/>
    <col min="7" max="7" width="12.85546875" bestFit="1" customWidth="1"/>
    <col min="8" max="8" width="11.42578125" bestFit="1" customWidth="1"/>
    <col min="9" max="9" width="13.85546875" bestFit="1" customWidth="1"/>
    <col min="10" max="10" width="11.7109375" bestFit="1" customWidth="1"/>
    <col min="11" max="11" width="16.7109375" bestFit="1" customWidth="1"/>
    <col min="12" max="12" width="3" customWidth="1"/>
    <col min="13" max="13" width="20" bestFit="1" customWidth="1"/>
    <col min="14" max="14" width="12.140625" style="3" customWidth="1"/>
    <col min="15" max="15" width="24.85546875" customWidth="1"/>
    <col min="16" max="16" width="14.5703125" customWidth="1"/>
    <col min="17" max="17" width="18.85546875" customWidth="1"/>
    <col min="18" max="18" width="10.140625" bestFit="1" customWidth="1"/>
  </cols>
  <sheetData>
    <row r="3" spans="1:16" ht="18.75" x14ac:dyDescent="0.25">
      <c r="A3" s="23">
        <v>2019</v>
      </c>
      <c r="M3" s="3"/>
    </row>
    <row r="4" spans="1:16" x14ac:dyDescent="0.25">
      <c r="A4" s="33" t="s">
        <v>17</v>
      </c>
      <c r="M4" s="32" t="s">
        <v>60</v>
      </c>
    </row>
    <row r="5" spans="1:16" x14ac:dyDescent="0.25">
      <c r="B5" s="7"/>
      <c r="C5" s="10" t="s">
        <v>19</v>
      </c>
      <c r="D5" s="10" t="s">
        <v>20</v>
      </c>
      <c r="E5" s="10" t="s">
        <v>19</v>
      </c>
      <c r="F5" s="10" t="s">
        <v>19</v>
      </c>
      <c r="G5" s="10" t="s">
        <v>20</v>
      </c>
      <c r="H5" s="10" t="s">
        <v>20</v>
      </c>
      <c r="I5" s="10" t="s">
        <v>21</v>
      </c>
      <c r="J5" s="10" t="s">
        <v>20</v>
      </c>
      <c r="K5" s="7" t="s">
        <v>10</v>
      </c>
      <c r="M5" s="7" t="s">
        <v>9</v>
      </c>
      <c r="P5" s="7"/>
    </row>
    <row r="6" spans="1:16" x14ac:dyDescent="0.25">
      <c r="B6" s="6" t="s">
        <v>1</v>
      </c>
      <c r="C6" s="6" t="s">
        <v>2</v>
      </c>
      <c r="D6" s="6" t="s">
        <v>3</v>
      </c>
      <c r="E6" s="6" t="s">
        <v>12</v>
      </c>
      <c r="F6" s="6" t="s">
        <v>4</v>
      </c>
      <c r="G6" s="6" t="s">
        <v>5</v>
      </c>
      <c r="H6" s="6" t="s">
        <v>13</v>
      </c>
      <c r="I6" s="6" t="s">
        <v>6</v>
      </c>
      <c r="J6" s="6" t="s">
        <v>7</v>
      </c>
      <c r="K6" s="6" t="s">
        <v>8</v>
      </c>
      <c r="M6" s="6" t="s">
        <v>8</v>
      </c>
      <c r="N6" s="31" t="s">
        <v>14</v>
      </c>
      <c r="P6" s="9"/>
    </row>
    <row r="7" spans="1:16" x14ac:dyDescent="0.25">
      <c r="A7" s="2">
        <v>44773</v>
      </c>
      <c r="B7" s="9">
        <v>4618.67</v>
      </c>
      <c r="C7" s="9"/>
      <c r="D7" s="9"/>
      <c r="E7" s="9"/>
      <c r="F7" s="9"/>
      <c r="G7" s="9"/>
      <c r="H7" s="9"/>
      <c r="I7" s="9"/>
      <c r="J7" s="9"/>
      <c r="K7" s="9">
        <f>SUM(B7:J7)</f>
        <v>4618.67</v>
      </c>
      <c r="M7" s="3">
        <v>4618.67</v>
      </c>
      <c r="N7" s="3">
        <f t="shared" ref="N7:N14" si="0">+K7-M7</f>
        <v>0</v>
      </c>
      <c r="P7" s="9"/>
    </row>
    <row r="8" spans="1:16" x14ac:dyDescent="0.25">
      <c r="A8" s="2">
        <f>+A7+31</f>
        <v>44804</v>
      </c>
      <c r="B8" s="9">
        <f>+K7</f>
        <v>4618.67</v>
      </c>
      <c r="C8" s="9"/>
      <c r="D8" s="9"/>
      <c r="E8" s="9"/>
      <c r="F8" s="9"/>
      <c r="G8" s="9"/>
      <c r="H8" s="9"/>
      <c r="I8" s="9"/>
      <c r="J8" s="9"/>
      <c r="K8" s="9">
        <f t="shared" ref="K8:K18" si="1">SUM(B8:J8)</f>
        <v>4618.67</v>
      </c>
      <c r="M8" s="3">
        <f>+M7</f>
        <v>4618.67</v>
      </c>
      <c r="N8" s="3">
        <f t="shared" si="0"/>
        <v>0</v>
      </c>
      <c r="P8" s="9"/>
    </row>
    <row r="9" spans="1:16" x14ac:dyDescent="0.25">
      <c r="A9" s="2">
        <f>+A8+30</f>
        <v>44834</v>
      </c>
      <c r="B9" s="9">
        <f t="shared" ref="B9:B14" si="2">+K8</f>
        <v>4618.67</v>
      </c>
      <c r="C9" s="9"/>
      <c r="D9" s="9"/>
      <c r="E9" s="9"/>
      <c r="F9" s="9"/>
      <c r="G9" s="9"/>
      <c r="H9" s="9"/>
      <c r="I9" s="9"/>
      <c r="J9" s="9"/>
      <c r="K9" s="9">
        <f t="shared" si="1"/>
        <v>4618.67</v>
      </c>
      <c r="M9" s="3">
        <f t="shared" ref="M9:M16" si="3">+M8</f>
        <v>4618.67</v>
      </c>
      <c r="N9" s="3">
        <f t="shared" si="0"/>
        <v>0</v>
      </c>
      <c r="P9" s="9"/>
    </row>
    <row r="10" spans="1:16" x14ac:dyDescent="0.25">
      <c r="A10" s="2">
        <f t="shared" ref="A10:A17" si="4">+A9+31</f>
        <v>44865</v>
      </c>
      <c r="B10" s="9">
        <f t="shared" si="2"/>
        <v>4618.67</v>
      </c>
      <c r="C10" s="9"/>
      <c r="D10" s="9"/>
      <c r="E10" s="9"/>
      <c r="F10" s="9"/>
      <c r="G10" s="9"/>
      <c r="H10" s="9"/>
      <c r="I10" s="9"/>
      <c r="J10" s="9"/>
      <c r="K10" s="9">
        <f t="shared" si="1"/>
        <v>4618.67</v>
      </c>
      <c r="M10" s="3">
        <f t="shared" si="3"/>
        <v>4618.67</v>
      </c>
      <c r="N10" s="3">
        <f t="shared" si="0"/>
        <v>0</v>
      </c>
      <c r="P10" s="9"/>
    </row>
    <row r="11" spans="1:16" x14ac:dyDescent="0.25">
      <c r="A11" s="2">
        <f>+A10+30</f>
        <v>44895</v>
      </c>
      <c r="B11" s="9">
        <f t="shared" si="2"/>
        <v>4618.67</v>
      </c>
      <c r="C11" s="9"/>
      <c r="D11" s="9"/>
      <c r="E11" s="9"/>
      <c r="F11" s="9"/>
      <c r="G11" s="9"/>
      <c r="H11" s="9"/>
      <c r="I11" s="9"/>
      <c r="J11" s="9"/>
      <c r="K11" s="9">
        <f t="shared" si="1"/>
        <v>4618.67</v>
      </c>
      <c r="M11" s="3">
        <f t="shared" si="3"/>
        <v>4618.67</v>
      </c>
      <c r="N11" s="3">
        <f t="shared" si="0"/>
        <v>0</v>
      </c>
      <c r="P11" s="9"/>
    </row>
    <row r="12" spans="1:16" collapsed="1" x14ac:dyDescent="0.25">
      <c r="A12" s="2">
        <f t="shared" si="4"/>
        <v>44926</v>
      </c>
      <c r="B12" s="9">
        <f t="shared" si="2"/>
        <v>4618.67</v>
      </c>
      <c r="C12" s="9"/>
      <c r="D12" s="9"/>
      <c r="E12" s="9"/>
      <c r="F12" s="9"/>
      <c r="G12" s="9"/>
      <c r="H12" s="9"/>
      <c r="I12" s="9"/>
      <c r="J12" s="9"/>
      <c r="K12" s="9">
        <f t="shared" si="1"/>
        <v>4618.67</v>
      </c>
      <c r="M12" s="3">
        <f t="shared" si="3"/>
        <v>4618.67</v>
      </c>
      <c r="N12" s="3">
        <f t="shared" si="0"/>
        <v>0</v>
      </c>
      <c r="P12" s="9"/>
    </row>
    <row r="13" spans="1:16" x14ac:dyDescent="0.25">
      <c r="A13" s="2">
        <f t="shared" si="4"/>
        <v>44957</v>
      </c>
      <c r="B13" s="9">
        <f t="shared" si="2"/>
        <v>4618.67</v>
      </c>
      <c r="C13" s="9"/>
      <c r="D13" s="9"/>
      <c r="E13" s="9"/>
      <c r="F13" s="9"/>
      <c r="G13" s="9"/>
      <c r="H13" s="9"/>
      <c r="I13" s="9"/>
      <c r="J13" s="9"/>
      <c r="K13" s="9">
        <f t="shared" si="1"/>
        <v>4618.67</v>
      </c>
      <c r="M13" s="3">
        <f t="shared" si="3"/>
        <v>4618.67</v>
      </c>
      <c r="N13" s="3">
        <f t="shared" si="0"/>
        <v>0</v>
      </c>
      <c r="P13" s="9"/>
    </row>
    <row r="14" spans="1:16" x14ac:dyDescent="0.25">
      <c r="A14" s="2">
        <f>+A13+28</f>
        <v>44985</v>
      </c>
      <c r="B14" s="9">
        <f t="shared" si="2"/>
        <v>4618.67</v>
      </c>
      <c r="C14" s="9"/>
      <c r="D14" s="9"/>
      <c r="E14" s="9"/>
      <c r="F14" s="9"/>
      <c r="G14" s="9"/>
      <c r="H14" s="9"/>
      <c r="I14" s="9"/>
      <c r="J14" s="9"/>
      <c r="K14" s="9">
        <f t="shared" si="1"/>
        <v>4618.67</v>
      </c>
      <c r="M14" s="3">
        <f t="shared" si="3"/>
        <v>4618.67</v>
      </c>
      <c r="N14" s="3">
        <f t="shared" si="0"/>
        <v>0</v>
      </c>
      <c r="P14" s="9"/>
    </row>
    <row r="15" spans="1:16" x14ac:dyDescent="0.25">
      <c r="A15" s="2">
        <f t="shared" si="4"/>
        <v>45016</v>
      </c>
      <c r="B15" s="9">
        <f>+K14</f>
        <v>4618.67</v>
      </c>
      <c r="C15" s="9"/>
      <c r="D15" s="9"/>
      <c r="E15" s="9"/>
      <c r="F15" s="9"/>
      <c r="G15" s="9"/>
      <c r="H15" s="9"/>
      <c r="I15" s="9"/>
      <c r="J15" s="9"/>
      <c r="K15" s="9">
        <f t="shared" si="1"/>
        <v>4618.67</v>
      </c>
      <c r="M15" s="3">
        <f t="shared" si="3"/>
        <v>4618.67</v>
      </c>
      <c r="N15" s="3">
        <f>+K15-M15</f>
        <v>0</v>
      </c>
      <c r="P15" s="9"/>
    </row>
    <row r="16" spans="1:16" x14ac:dyDescent="0.25">
      <c r="A16" s="2">
        <f>+A15+30</f>
        <v>45046</v>
      </c>
      <c r="B16" s="9">
        <f>+K15</f>
        <v>4618.67</v>
      </c>
      <c r="C16" s="9"/>
      <c r="D16" s="9"/>
      <c r="E16" s="9"/>
      <c r="F16" s="9"/>
      <c r="G16" s="9"/>
      <c r="H16" s="9"/>
      <c r="I16" s="9"/>
      <c r="J16" s="9"/>
      <c r="K16" s="9">
        <f t="shared" si="1"/>
        <v>4618.67</v>
      </c>
      <c r="M16" s="3">
        <f t="shared" si="3"/>
        <v>4618.67</v>
      </c>
      <c r="N16" s="3">
        <f>+K16-M16</f>
        <v>0</v>
      </c>
      <c r="P16" s="9"/>
    </row>
    <row r="17" spans="1:16" x14ac:dyDescent="0.25">
      <c r="A17" s="2">
        <f t="shared" si="4"/>
        <v>45077</v>
      </c>
      <c r="B17" s="9">
        <f>+K16</f>
        <v>4618.67</v>
      </c>
      <c r="C17" s="9"/>
      <c r="D17" s="9">
        <v>-4618.67</v>
      </c>
      <c r="E17" s="9"/>
      <c r="F17" s="9"/>
      <c r="G17" s="9"/>
      <c r="H17" s="9"/>
      <c r="I17" s="9"/>
      <c r="J17" s="9"/>
      <c r="K17" s="9">
        <f t="shared" si="1"/>
        <v>0</v>
      </c>
      <c r="M17" s="3">
        <v>0</v>
      </c>
      <c r="N17" s="3">
        <f>+K17-M17</f>
        <v>0</v>
      </c>
      <c r="P17" s="9"/>
    </row>
    <row r="18" spans="1:16" x14ac:dyDescent="0.25">
      <c r="A18" s="2">
        <f>+A17+30</f>
        <v>45107</v>
      </c>
      <c r="B18" s="9">
        <f>+K17</f>
        <v>0</v>
      </c>
      <c r="C18" s="9"/>
      <c r="D18" s="9"/>
      <c r="E18" s="9"/>
      <c r="F18" s="9"/>
      <c r="G18" s="9"/>
      <c r="H18" s="9"/>
      <c r="I18" s="9"/>
      <c r="J18" s="9"/>
      <c r="K18" s="9">
        <f t="shared" si="1"/>
        <v>0</v>
      </c>
      <c r="M18" s="3">
        <v>0</v>
      </c>
      <c r="N18" s="16">
        <f>+K18-M18</f>
        <v>0</v>
      </c>
    </row>
    <row r="19" spans="1:16" x14ac:dyDescent="0.25">
      <c r="B19" s="3"/>
      <c r="C19" s="9"/>
      <c r="D19" s="9"/>
      <c r="E19" s="9"/>
      <c r="F19" s="9"/>
      <c r="G19" s="9"/>
      <c r="H19" s="9"/>
      <c r="I19" s="9"/>
      <c r="J19" s="9"/>
      <c r="K19" s="9"/>
      <c r="P19" s="5"/>
    </row>
    <row r="20" spans="1:16" ht="14.45" customHeight="1" thickBot="1" x14ac:dyDescent="0.3">
      <c r="A20" t="s">
        <v>16</v>
      </c>
      <c r="B20" s="3">
        <f>+B7</f>
        <v>4618.67</v>
      </c>
      <c r="C20" s="18">
        <f>SUM(C7:C18)</f>
        <v>0</v>
      </c>
      <c r="D20" s="18">
        <f t="shared" ref="D20:J20" si="5">SUM(D7:D18)</f>
        <v>-4618.67</v>
      </c>
      <c r="E20" s="18">
        <f t="shared" si="5"/>
        <v>0</v>
      </c>
      <c r="F20" s="18">
        <f t="shared" si="5"/>
        <v>0</v>
      </c>
      <c r="G20" s="18">
        <f t="shared" si="5"/>
        <v>0</v>
      </c>
      <c r="H20" s="18">
        <f t="shared" si="5"/>
        <v>0</v>
      </c>
      <c r="I20" s="18">
        <f t="shared" si="5"/>
        <v>0</v>
      </c>
      <c r="J20" s="18">
        <f t="shared" si="5"/>
        <v>0</v>
      </c>
      <c r="K20" s="18">
        <f>SUM(B20:J20)</f>
        <v>0</v>
      </c>
      <c r="P20" s="5"/>
    </row>
    <row r="21" spans="1:16" ht="15.75" thickTop="1" x14ac:dyDescent="0.25"/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2:X170"/>
  <sheetViews>
    <sheetView topLeftCell="F1" zoomScale="85" zoomScaleNormal="85" workbookViewId="0">
      <pane ySplit="3" topLeftCell="A19" activePane="bottomLeft" state="frozen"/>
      <selection activeCell="O26" sqref="O26:P26"/>
      <selection pane="bottomLeft" activeCell="Q31" sqref="Q31"/>
    </sheetView>
  </sheetViews>
  <sheetFormatPr defaultRowHeight="15" x14ac:dyDescent="0.25"/>
  <cols>
    <col min="1" max="1" width="13.85546875" customWidth="1"/>
    <col min="2" max="2" width="12.42578125" bestFit="1" customWidth="1"/>
    <col min="3" max="3" width="14.85546875" bestFit="1" customWidth="1"/>
    <col min="4" max="4" width="13" bestFit="1" customWidth="1"/>
    <col min="5" max="5" width="14.140625" bestFit="1" customWidth="1"/>
    <col min="6" max="6" width="10" bestFit="1" customWidth="1"/>
    <col min="7" max="7" width="12.85546875" bestFit="1" customWidth="1"/>
    <col min="8" max="8" width="11.42578125" bestFit="1" customWidth="1"/>
    <col min="9" max="9" width="13.85546875" bestFit="1" customWidth="1"/>
    <col min="10" max="10" width="9.28515625" bestFit="1" customWidth="1"/>
    <col min="11" max="11" width="15.7109375" customWidth="1"/>
    <col min="12" max="12" width="3" customWidth="1"/>
    <col min="13" max="13" width="15.7109375" customWidth="1"/>
    <col min="14" max="14" width="12.5703125" bestFit="1" customWidth="1"/>
    <col min="15" max="15" width="13" customWidth="1"/>
    <col min="16" max="16" width="12.140625" style="3" bestFit="1" customWidth="1"/>
    <col min="17" max="17" width="15.5703125" style="3" customWidth="1"/>
    <col min="18" max="18" width="13.7109375" customWidth="1"/>
    <col min="19" max="19" width="12.7109375" style="9" bestFit="1" customWidth="1"/>
    <col min="20" max="22" width="10.28515625" bestFit="1" customWidth="1"/>
    <col min="23" max="23" width="11.28515625" bestFit="1" customWidth="1"/>
    <col min="26" max="26" width="24.5703125" bestFit="1" customWidth="1"/>
  </cols>
  <sheetData>
    <row r="2" spans="1:22" x14ac:dyDescent="0.25">
      <c r="A2" s="12" t="s">
        <v>23</v>
      </c>
      <c r="M2" s="12"/>
    </row>
    <row r="3" spans="1:22" x14ac:dyDescent="0.25">
      <c r="A3" s="12"/>
    </row>
    <row r="4" spans="1:22" ht="18.75" x14ac:dyDescent="0.25">
      <c r="A4" s="23">
        <v>2023</v>
      </c>
      <c r="P4" s="9"/>
      <c r="Q4" s="9"/>
    </row>
    <row r="5" spans="1:22" x14ac:dyDescent="0.25">
      <c r="A5" s="33" t="s">
        <v>48</v>
      </c>
      <c r="M5" s="32" t="s">
        <v>52</v>
      </c>
      <c r="P5" s="9"/>
      <c r="Q5" s="9"/>
    </row>
    <row r="6" spans="1:22" s="21" customFormat="1" x14ac:dyDescent="0.25">
      <c r="C6" s="21" t="s">
        <v>19</v>
      </c>
      <c r="D6" s="21" t="s">
        <v>20</v>
      </c>
      <c r="E6" s="21" t="s">
        <v>19</v>
      </c>
      <c r="F6" s="21" t="s">
        <v>19</v>
      </c>
      <c r="G6" s="21" t="s">
        <v>20</v>
      </c>
      <c r="H6" s="21" t="s">
        <v>20</v>
      </c>
      <c r="I6" s="21" t="s">
        <v>21</v>
      </c>
      <c r="J6" s="21" t="s">
        <v>20</v>
      </c>
      <c r="K6" s="21" t="s">
        <v>10</v>
      </c>
      <c r="M6" s="21" t="s">
        <v>9</v>
      </c>
      <c r="P6" s="30"/>
      <c r="Q6" s="30"/>
      <c r="S6" s="30"/>
    </row>
    <row r="7" spans="1:22" x14ac:dyDescent="0.25">
      <c r="B7" s="4" t="s">
        <v>1</v>
      </c>
      <c r="C7" s="4" t="s">
        <v>2</v>
      </c>
      <c r="D7" s="4" t="s">
        <v>3</v>
      </c>
      <c r="E7" s="4" t="s">
        <v>12</v>
      </c>
      <c r="F7" s="4" t="s">
        <v>4</v>
      </c>
      <c r="G7" s="4" t="s">
        <v>5</v>
      </c>
      <c r="H7" s="4" t="s">
        <v>13</v>
      </c>
      <c r="I7" s="4" t="s">
        <v>6</v>
      </c>
      <c r="J7" s="4" t="s">
        <v>7</v>
      </c>
      <c r="K7" s="4" t="s">
        <v>8</v>
      </c>
      <c r="M7" s="6" t="s">
        <v>8</v>
      </c>
      <c r="N7" s="6" t="s">
        <v>14</v>
      </c>
      <c r="O7" s="7"/>
      <c r="P7" s="38"/>
      <c r="Q7" s="9"/>
    </row>
    <row r="8" spans="1:22" ht="18.75" x14ac:dyDescent="0.3">
      <c r="A8" s="2">
        <v>44773</v>
      </c>
      <c r="B8" s="9">
        <v>0</v>
      </c>
      <c r="C8" s="9"/>
      <c r="D8" s="9"/>
      <c r="E8" s="9"/>
      <c r="F8" s="9"/>
      <c r="G8" s="9"/>
      <c r="H8" s="9"/>
      <c r="I8" s="9"/>
      <c r="J8" s="9"/>
      <c r="K8" s="9">
        <f>SUM(B8:J8)</f>
        <v>0</v>
      </c>
      <c r="M8" s="9">
        <v>0</v>
      </c>
      <c r="N8" s="9">
        <f>+K8-M8</f>
        <v>0</v>
      </c>
      <c r="O8" s="9"/>
      <c r="P8">
        <v>2023</v>
      </c>
      <c r="Q8" s="9"/>
      <c r="R8" t="s">
        <v>143</v>
      </c>
      <c r="S8" s="9">
        <f>+C21</f>
        <v>1452055.2799999998</v>
      </c>
      <c r="U8" s="5"/>
      <c r="V8" s="40"/>
    </row>
    <row r="9" spans="1:22" ht="18.75" x14ac:dyDescent="0.3">
      <c r="A9" s="2">
        <f>+A8+31</f>
        <v>44804</v>
      </c>
      <c r="B9" s="9">
        <f>+K8</f>
        <v>0</v>
      </c>
      <c r="C9" s="9"/>
      <c r="D9" s="9"/>
      <c r="E9" s="9"/>
      <c r="F9" s="9"/>
      <c r="G9" s="9"/>
      <c r="H9" s="9"/>
      <c r="I9" s="9"/>
      <c r="J9" s="9"/>
      <c r="K9" s="9">
        <f t="shared" ref="K9:K19" si="0">SUM(B9:J9)</f>
        <v>0</v>
      </c>
      <c r="M9" s="9">
        <v>0</v>
      </c>
      <c r="N9" s="9">
        <f>+K9-M9</f>
        <v>0</v>
      </c>
      <c r="O9" s="9"/>
      <c r="P9" s="9"/>
      <c r="Q9" s="9"/>
      <c r="R9" t="s">
        <v>144</v>
      </c>
      <c r="S9" s="9">
        <f>+G21</f>
        <v>-13265.39</v>
      </c>
      <c r="U9" s="5"/>
      <c r="V9" s="40"/>
    </row>
    <row r="10" spans="1:22" ht="18.75" x14ac:dyDescent="0.3">
      <c r="A10" s="2">
        <f>+A9+30</f>
        <v>44834</v>
      </c>
      <c r="B10" s="9">
        <f t="shared" ref="B10:B19" si="1">+K9</f>
        <v>0</v>
      </c>
      <c r="C10" s="9"/>
      <c r="D10" s="9"/>
      <c r="E10" s="9"/>
      <c r="F10" s="9"/>
      <c r="G10" s="9"/>
      <c r="H10" s="9"/>
      <c r="I10" s="9"/>
      <c r="J10" s="9"/>
      <c r="K10" s="9">
        <f t="shared" si="0"/>
        <v>0</v>
      </c>
      <c r="M10" s="9">
        <v>0</v>
      </c>
      <c r="N10" s="9">
        <f t="shared" ref="N10:N18" si="2">+K10-M10</f>
        <v>0</v>
      </c>
      <c r="O10" s="9"/>
      <c r="P10" s="9"/>
      <c r="Q10" s="9"/>
      <c r="R10" t="s">
        <v>145</v>
      </c>
      <c r="S10" s="9">
        <f>+I21</f>
        <v>6.76</v>
      </c>
      <c r="U10" s="5"/>
      <c r="V10" s="40"/>
    </row>
    <row r="11" spans="1:22" ht="18.75" x14ac:dyDescent="0.3">
      <c r="A11" s="2">
        <f t="shared" ref="A11:A18" si="3">+A10+31</f>
        <v>44865</v>
      </c>
      <c r="B11" s="9">
        <f t="shared" si="1"/>
        <v>0</v>
      </c>
      <c r="C11" s="9"/>
      <c r="D11" s="9"/>
      <c r="E11" s="9"/>
      <c r="F11" s="9"/>
      <c r="G11" s="9"/>
      <c r="H11" s="9"/>
      <c r="I11" s="9"/>
      <c r="J11" s="9"/>
      <c r="K11" s="9">
        <f t="shared" si="0"/>
        <v>0</v>
      </c>
      <c r="M11" s="9">
        <v>0</v>
      </c>
      <c r="N11" s="9">
        <f t="shared" si="2"/>
        <v>0</v>
      </c>
      <c r="O11" s="9"/>
      <c r="P11" s="9"/>
      <c r="Q11" s="9"/>
      <c r="R11" t="s">
        <v>146</v>
      </c>
      <c r="S11" s="9">
        <v>0.98</v>
      </c>
      <c r="U11" s="5"/>
      <c r="V11" s="40"/>
    </row>
    <row r="12" spans="1:22" ht="18.75" x14ac:dyDescent="0.3">
      <c r="A12" s="2">
        <f>+A11+30</f>
        <v>44895</v>
      </c>
      <c r="B12" s="9">
        <f t="shared" si="1"/>
        <v>0</v>
      </c>
      <c r="C12" s="9"/>
      <c r="D12" s="9"/>
      <c r="E12" s="9"/>
      <c r="F12" s="9"/>
      <c r="G12" s="9"/>
      <c r="H12" s="9"/>
      <c r="I12" s="9"/>
      <c r="J12" s="9"/>
      <c r="K12" s="9">
        <f t="shared" si="0"/>
        <v>0</v>
      </c>
      <c r="M12" s="9">
        <v>0</v>
      </c>
      <c r="N12" s="9">
        <f t="shared" si="2"/>
        <v>0</v>
      </c>
      <c r="O12" s="9"/>
      <c r="P12" s="9"/>
      <c r="Q12" s="9"/>
      <c r="U12" s="5"/>
      <c r="V12" s="40"/>
    </row>
    <row r="13" spans="1:22" ht="19.5" thickBot="1" x14ac:dyDescent="0.35">
      <c r="A13" s="2">
        <f t="shared" si="3"/>
        <v>44926</v>
      </c>
      <c r="B13" s="9">
        <f t="shared" si="1"/>
        <v>0</v>
      </c>
      <c r="C13" s="9"/>
      <c r="D13" s="9"/>
      <c r="E13" s="9"/>
      <c r="F13" s="9"/>
      <c r="G13" s="9"/>
      <c r="H13" s="9"/>
      <c r="I13" s="9"/>
      <c r="J13" s="9"/>
      <c r="K13" s="9">
        <f t="shared" si="0"/>
        <v>0</v>
      </c>
      <c r="M13" s="9">
        <v>0</v>
      </c>
      <c r="N13" s="9">
        <f t="shared" si="2"/>
        <v>0</v>
      </c>
      <c r="O13" s="9"/>
      <c r="P13" s="9"/>
      <c r="Q13" s="9"/>
      <c r="S13" s="18">
        <f>SUM(S8:S12)</f>
        <v>1438797.63</v>
      </c>
      <c r="U13" s="5"/>
      <c r="V13" s="40"/>
    </row>
    <row r="14" spans="1:22" ht="19.5" thickTop="1" x14ac:dyDescent="0.3">
      <c r="A14" s="2">
        <f t="shared" si="3"/>
        <v>44957</v>
      </c>
      <c r="B14" s="9">
        <f t="shared" si="1"/>
        <v>0</v>
      </c>
      <c r="C14" s="9"/>
      <c r="D14" s="9"/>
      <c r="E14" s="9"/>
      <c r="F14" s="9"/>
      <c r="G14" s="9"/>
      <c r="H14" s="9"/>
      <c r="I14" s="9"/>
      <c r="J14" s="9"/>
      <c r="K14" s="9">
        <f t="shared" si="0"/>
        <v>0</v>
      </c>
      <c r="M14" s="9">
        <v>0</v>
      </c>
      <c r="N14" s="9">
        <f t="shared" si="2"/>
        <v>0</v>
      </c>
      <c r="O14" s="9"/>
      <c r="P14" s="9"/>
      <c r="Q14" s="9"/>
      <c r="U14" s="5"/>
      <c r="V14" s="40"/>
    </row>
    <row r="15" spans="1:22" ht="18.75" x14ac:dyDescent="0.3">
      <c r="A15" s="2">
        <f>+A14+28</f>
        <v>44985</v>
      </c>
      <c r="B15" s="9">
        <f t="shared" si="1"/>
        <v>0</v>
      </c>
      <c r="C15" s="9">
        <v>1165766.6599999999</v>
      </c>
      <c r="D15" s="9">
        <v>-637925.92000000004</v>
      </c>
      <c r="E15" s="9"/>
      <c r="F15" s="9"/>
      <c r="G15" s="9">
        <v>-2273.11</v>
      </c>
      <c r="H15" s="9"/>
      <c r="I15" s="9"/>
      <c r="J15" s="9"/>
      <c r="K15" s="9">
        <f t="shared" si="0"/>
        <v>525567.62999999989</v>
      </c>
      <c r="M15" s="9">
        <v>-702976.29</v>
      </c>
      <c r="N15" s="9">
        <f t="shared" si="2"/>
        <v>1228543.92</v>
      </c>
      <c r="O15" s="9">
        <f>+M15</f>
        <v>-702976.29</v>
      </c>
      <c r="P15" s="9"/>
      <c r="Q15" s="9"/>
      <c r="S15" s="9">
        <f>+S13-N19</f>
        <v>0</v>
      </c>
      <c r="U15" s="5"/>
      <c r="V15" s="40"/>
    </row>
    <row r="16" spans="1:22" ht="18.75" x14ac:dyDescent="0.3">
      <c r="A16" s="2">
        <f t="shared" si="3"/>
        <v>45016</v>
      </c>
      <c r="B16" s="9">
        <f t="shared" si="1"/>
        <v>525567.62999999989</v>
      </c>
      <c r="C16" s="9">
        <v>0</v>
      </c>
      <c r="D16" s="9">
        <v>-363769.82</v>
      </c>
      <c r="E16" s="9">
        <v>266.26</v>
      </c>
      <c r="F16" s="9"/>
      <c r="G16" s="9">
        <v>-2183.63</v>
      </c>
      <c r="H16" s="9"/>
      <c r="I16" s="9"/>
      <c r="J16" s="9"/>
      <c r="K16" s="9">
        <f t="shared" si="0"/>
        <v>159880.43999999989</v>
      </c>
      <c r="M16" s="9">
        <f>+M15-297012.07</f>
        <v>-999988.3600000001</v>
      </c>
      <c r="N16" s="9">
        <f t="shared" si="2"/>
        <v>1159868.8</v>
      </c>
      <c r="O16" s="9">
        <f>+N16-N15</f>
        <v>-68675.119999999879</v>
      </c>
      <c r="P16" s="9"/>
      <c r="Q16" s="9"/>
      <c r="U16" s="5"/>
      <c r="V16" s="40"/>
    </row>
    <row r="17" spans="1:24" ht="18.75" x14ac:dyDescent="0.3">
      <c r="A17" s="2">
        <f>+A16+30</f>
        <v>45046</v>
      </c>
      <c r="B17" s="9">
        <f t="shared" si="1"/>
        <v>159880.43999999989</v>
      </c>
      <c r="C17" s="9">
        <v>188711.94</v>
      </c>
      <c r="D17" s="9">
        <v>-165633.5</v>
      </c>
      <c r="E17" s="9"/>
      <c r="F17" s="9">
        <v>2525.77</v>
      </c>
      <c r="G17" s="9">
        <v>-3041.08</v>
      </c>
      <c r="H17" s="9"/>
      <c r="I17" s="9"/>
      <c r="J17" s="9"/>
      <c r="K17" s="9">
        <f t="shared" si="0"/>
        <v>182443.56999999989</v>
      </c>
      <c r="M17" s="9">
        <f>+M16-165706.32</f>
        <v>-1165694.6800000002</v>
      </c>
      <c r="N17" s="9">
        <f t="shared" si="2"/>
        <v>1348138.25</v>
      </c>
      <c r="O17" s="9">
        <f t="shared" ref="O17:O19" si="4">+N17-N16</f>
        <v>188269.44999999995</v>
      </c>
      <c r="P17" s="9"/>
      <c r="Q17" s="9"/>
      <c r="U17" s="5"/>
      <c r="V17" s="40"/>
    </row>
    <row r="18" spans="1:24" ht="18.75" x14ac:dyDescent="0.3">
      <c r="A18" s="2">
        <f t="shared" si="3"/>
        <v>45077</v>
      </c>
      <c r="B18" s="9">
        <f t="shared" si="1"/>
        <v>182443.56999999989</v>
      </c>
      <c r="C18" s="9">
        <v>97576.68</v>
      </c>
      <c r="D18" s="9">
        <v>-93885.34</v>
      </c>
      <c r="E18" s="25"/>
      <c r="F18" s="25">
        <v>3249.14</v>
      </c>
      <c r="G18" s="25">
        <v>-4098.16</v>
      </c>
      <c r="H18" s="9"/>
      <c r="I18" s="9">
        <v>6.76</v>
      </c>
      <c r="J18" s="9"/>
      <c r="K18" s="9">
        <f t="shared" si="0"/>
        <v>185292.64999999991</v>
      </c>
      <c r="M18" s="9">
        <f>+M17-89479.71</f>
        <v>-1255174.3900000001</v>
      </c>
      <c r="N18" s="9">
        <f t="shared" si="2"/>
        <v>1440467.04</v>
      </c>
      <c r="O18" s="9">
        <f t="shared" si="4"/>
        <v>92328.790000000037</v>
      </c>
      <c r="P18" s="9"/>
      <c r="Q18" s="9"/>
      <c r="V18" s="41"/>
    </row>
    <row r="19" spans="1:24" ht="18.75" x14ac:dyDescent="0.3">
      <c r="A19" s="2">
        <f>+A18+30</f>
        <v>45107</v>
      </c>
      <c r="B19" s="9">
        <f t="shared" si="1"/>
        <v>185292.64999999991</v>
      </c>
      <c r="C19" s="9">
        <v>0</v>
      </c>
      <c r="D19" s="9">
        <v>-101721.49</v>
      </c>
      <c r="E19" s="9"/>
      <c r="F19" s="9"/>
      <c r="G19" s="9">
        <v>-1669.41</v>
      </c>
      <c r="H19" s="9"/>
      <c r="I19" s="9"/>
      <c r="J19" s="9"/>
      <c r="K19" s="9">
        <f t="shared" si="0"/>
        <v>81901.749999999898</v>
      </c>
      <c r="M19" s="9">
        <v>-1356895.88</v>
      </c>
      <c r="N19" s="15">
        <f>+K19-M19</f>
        <v>1438797.63</v>
      </c>
      <c r="O19" s="9">
        <f t="shared" si="4"/>
        <v>-1669.410000000149</v>
      </c>
      <c r="P19" s="9"/>
      <c r="Q19" s="9"/>
      <c r="R19" s="5"/>
      <c r="V19" s="42"/>
    </row>
    <row r="20" spans="1:24" ht="18.75" x14ac:dyDescent="0.3">
      <c r="P20" s="9"/>
      <c r="Q20" s="9"/>
      <c r="V20" s="42"/>
    </row>
    <row r="21" spans="1:24" ht="19.5" thickBot="1" x14ac:dyDescent="0.35">
      <c r="A21" t="s">
        <v>16</v>
      </c>
      <c r="B21" s="9"/>
      <c r="C21" s="52">
        <f>SUM(C8:C19)</f>
        <v>1452055.2799999998</v>
      </c>
      <c r="D21" s="18">
        <f t="shared" ref="D21:H21" si="5">SUM(D8:D19)</f>
        <v>-1362936.07</v>
      </c>
      <c r="E21" s="51">
        <f t="shared" si="5"/>
        <v>266.26</v>
      </c>
      <c r="F21" s="51">
        <f t="shared" si="5"/>
        <v>5774.91</v>
      </c>
      <c r="G21" s="52">
        <f t="shared" si="5"/>
        <v>-13265.39</v>
      </c>
      <c r="H21" s="18">
        <f t="shared" si="5"/>
        <v>0</v>
      </c>
      <c r="I21" s="52">
        <f>SUM(I8:I19)</f>
        <v>6.76</v>
      </c>
      <c r="J21" s="18">
        <f t="shared" ref="J21" si="6">SUM(J8:J19)</f>
        <v>0</v>
      </c>
      <c r="K21" s="18">
        <f>+K19</f>
        <v>81901.749999999898</v>
      </c>
      <c r="M21" s="27"/>
      <c r="N21" s="9"/>
      <c r="O21" s="9"/>
      <c r="P21" s="9"/>
      <c r="Q21" s="9"/>
      <c r="R21" s="5"/>
      <c r="V21" s="42"/>
    </row>
    <row r="22" spans="1:24" ht="19.5" thickTop="1" x14ac:dyDescent="0.3">
      <c r="A22" s="1"/>
      <c r="D22" s="20"/>
      <c r="R22" s="5"/>
      <c r="V22" s="42"/>
    </row>
    <row r="23" spans="1:24" ht="18.75" x14ac:dyDescent="0.3">
      <c r="A23" s="23">
        <v>2022</v>
      </c>
      <c r="D23" s="5"/>
      <c r="P23" s="9"/>
      <c r="Q23" s="9"/>
      <c r="V23" s="42"/>
    </row>
    <row r="24" spans="1:24" ht="18.75" x14ac:dyDescent="0.3">
      <c r="A24" s="33" t="s">
        <v>44</v>
      </c>
      <c r="M24" s="32" t="s">
        <v>47</v>
      </c>
      <c r="P24" s="13"/>
      <c r="Q24" s="9"/>
      <c r="V24" s="42"/>
    </row>
    <row r="25" spans="1:24" s="21" customFormat="1" ht="18.75" x14ac:dyDescent="0.3">
      <c r="C25" s="21" t="s">
        <v>19</v>
      </c>
      <c r="D25" s="21" t="s">
        <v>20</v>
      </c>
      <c r="E25" s="21" t="s">
        <v>19</v>
      </c>
      <c r="F25" s="21" t="s">
        <v>19</v>
      </c>
      <c r="G25" s="21" t="s">
        <v>20</v>
      </c>
      <c r="H25" s="21" t="s">
        <v>20</v>
      </c>
      <c r="I25" s="21" t="s">
        <v>21</v>
      </c>
      <c r="J25" s="21" t="s">
        <v>20</v>
      </c>
      <c r="K25" s="21" t="s">
        <v>10</v>
      </c>
      <c r="M25" s="21" t="s">
        <v>9</v>
      </c>
      <c r="P25" s="13"/>
      <c r="S25" s="9"/>
      <c r="T25"/>
      <c r="U25"/>
      <c r="V25" s="42"/>
      <c r="W25"/>
      <c r="X25"/>
    </row>
    <row r="26" spans="1:24" ht="18.75" x14ac:dyDescent="0.3">
      <c r="B26" s="4" t="s">
        <v>1</v>
      </c>
      <c r="C26" s="4" t="s">
        <v>2</v>
      </c>
      <c r="D26" s="4" t="s">
        <v>3</v>
      </c>
      <c r="E26" s="4" t="s">
        <v>12</v>
      </c>
      <c r="F26" s="4" t="s">
        <v>4</v>
      </c>
      <c r="G26" s="4" t="s">
        <v>5</v>
      </c>
      <c r="H26" s="4" t="s">
        <v>13</v>
      </c>
      <c r="I26" s="4" t="s">
        <v>6</v>
      </c>
      <c r="J26" s="4" t="s">
        <v>7</v>
      </c>
      <c r="K26" s="4" t="s">
        <v>8</v>
      </c>
      <c r="M26" s="6" t="s">
        <v>8</v>
      </c>
      <c r="N26" s="6" t="s">
        <v>14</v>
      </c>
      <c r="O26" s="3">
        <v>-112965.48000000001</v>
      </c>
      <c r="P26" s="9"/>
      <c r="V26" s="42"/>
    </row>
    <row r="27" spans="1:24" ht="18.75" x14ac:dyDescent="0.3">
      <c r="A27" s="2">
        <v>44773</v>
      </c>
      <c r="B27" s="9">
        <v>134772.58000000002</v>
      </c>
      <c r="C27" s="9">
        <v>62128.6</v>
      </c>
      <c r="D27" s="9">
        <v>-21073.919999999998</v>
      </c>
      <c r="E27" s="9"/>
      <c r="F27" s="9">
        <v>6500.83</v>
      </c>
      <c r="G27" s="9">
        <v>-2400.88</v>
      </c>
      <c r="H27" s="9"/>
      <c r="I27" s="9"/>
      <c r="J27" s="9"/>
      <c r="K27" s="9">
        <f>SUM(B27:J27)</f>
        <v>179927.21</v>
      </c>
      <c r="M27" s="9">
        <v>247738.06</v>
      </c>
      <c r="N27" s="9">
        <f>+K27-M27</f>
        <v>-67810.850000000006</v>
      </c>
      <c r="O27" s="9">
        <f>+N27-O26</f>
        <v>45154.630000000005</v>
      </c>
      <c r="P27">
        <v>2022</v>
      </c>
      <c r="Q27"/>
      <c r="V27" s="42"/>
    </row>
    <row r="28" spans="1:24" ht="18.75" x14ac:dyDescent="0.3">
      <c r="A28" s="2">
        <f>+A27+31</f>
        <v>44804</v>
      </c>
      <c r="B28" s="9">
        <f>+K27</f>
        <v>179927.21</v>
      </c>
      <c r="C28" s="9"/>
      <c r="D28" s="9">
        <v>-66986.62</v>
      </c>
      <c r="E28" s="9"/>
      <c r="F28" s="9"/>
      <c r="G28" s="9">
        <v>-2095.16</v>
      </c>
      <c r="H28" s="9"/>
      <c r="I28" s="9"/>
      <c r="J28" s="9"/>
      <c r="K28" s="9">
        <f t="shared" ref="K28:K38" si="7">SUM(B28:J28)</f>
        <v>110845.43</v>
      </c>
      <c r="M28" s="9">
        <f>+M27</f>
        <v>247738.06</v>
      </c>
      <c r="N28" s="9">
        <f>+K28-M28</f>
        <v>-136892.63</v>
      </c>
      <c r="O28" s="9">
        <f>+N28-N27</f>
        <v>-69081.78</v>
      </c>
      <c r="P28"/>
      <c r="Q28" s="45"/>
      <c r="R28" t="s">
        <v>143</v>
      </c>
      <c r="S28" s="9">
        <v>150247.06</v>
      </c>
      <c r="T28" s="45"/>
      <c r="V28" s="42"/>
    </row>
    <row r="29" spans="1:24" ht="18.75" x14ac:dyDescent="0.3">
      <c r="A29" s="2">
        <f>+A28+30</f>
        <v>44834</v>
      </c>
      <c r="B29" s="9">
        <f t="shared" ref="B29:B38" si="8">+K28</f>
        <v>110845.43</v>
      </c>
      <c r="C29" s="9"/>
      <c r="D29" s="9">
        <v>-23997.19</v>
      </c>
      <c r="E29" s="9"/>
      <c r="F29" s="9">
        <v>2394.0500000000002</v>
      </c>
      <c r="G29" s="9">
        <v>-6221.66</v>
      </c>
      <c r="H29" s="9"/>
      <c r="I29" s="9"/>
      <c r="J29" s="9"/>
      <c r="K29" s="9">
        <f t="shared" si="7"/>
        <v>83020.62999999999</v>
      </c>
      <c r="M29" s="9">
        <f>+M28</f>
        <v>247738.06</v>
      </c>
      <c r="N29" s="9">
        <f t="shared" ref="N29:N37" si="9">+K29-M29</f>
        <v>-164717.43</v>
      </c>
      <c r="O29" s="9">
        <f t="shared" ref="O29:O38" si="10">+N29-N28</f>
        <v>-27824.799999999988</v>
      </c>
      <c r="P29"/>
      <c r="Q29"/>
      <c r="R29" s="17" t="s">
        <v>148</v>
      </c>
      <c r="S29" s="9">
        <f>-S47</f>
        <v>23195.719999999998</v>
      </c>
      <c r="T29" t="s">
        <v>157</v>
      </c>
      <c r="V29" s="42"/>
    </row>
    <row r="30" spans="1:24" ht="18.75" x14ac:dyDescent="0.3">
      <c r="A30" s="2">
        <f t="shared" ref="A30:A37" si="11">+A29+31</f>
        <v>44865</v>
      </c>
      <c r="B30" s="9">
        <f t="shared" si="8"/>
        <v>83020.62999999999</v>
      </c>
      <c r="C30" s="9">
        <v>46539.85</v>
      </c>
      <c r="D30" s="9">
        <v>-24948.31</v>
      </c>
      <c r="E30" s="9"/>
      <c r="F30" s="9"/>
      <c r="G30" s="9">
        <v>-2570.9299999999998</v>
      </c>
      <c r="H30" s="9"/>
      <c r="I30" s="9"/>
      <c r="J30" s="9"/>
      <c r="K30" s="9">
        <f t="shared" si="7"/>
        <v>102041.23999999999</v>
      </c>
      <c r="M30" s="9">
        <f>+M29</f>
        <v>247738.06</v>
      </c>
      <c r="N30" s="9">
        <f t="shared" si="9"/>
        <v>-145696.82</v>
      </c>
      <c r="O30" s="9">
        <f t="shared" si="10"/>
        <v>19020.609999999986</v>
      </c>
      <c r="P30"/>
      <c r="Q30"/>
      <c r="R30" t="s">
        <v>144</v>
      </c>
      <c r="S30" s="9">
        <f>G40</f>
        <v>-17420.810000000001</v>
      </c>
      <c r="V30" s="42"/>
    </row>
    <row r="31" spans="1:24" ht="18.75" x14ac:dyDescent="0.3">
      <c r="A31" s="2">
        <f>+A30+30</f>
        <v>44895</v>
      </c>
      <c r="B31" s="9">
        <f t="shared" si="8"/>
        <v>102041.23999999999</v>
      </c>
      <c r="C31" s="9"/>
      <c r="D31" s="9">
        <v>-30674.85</v>
      </c>
      <c r="E31" s="9"/>
      <c r="F31" s="9">
        <v>10600.96</v>
      </c>
      <c r="G31" s="9">
        <v>-1186.3800000000001</v>
      </c>
      <c r="H31" s="9"/>
      <c r="I31" s="9"/>
      <c r="J31" s="9"/>
      <c r="K31" s="9">
        <f t="shared" si="7"/>
        <v>80780.969999999972</v>
      </c>
      <c r="M31" s="9">
        <f>+M30-28898.55</f>
        <v>218839.51</v>
      </c>
      <c r="N31" s="9">
        <f t="shared" si="9"/>
        <v>-138058.54000000004</v>
      </c>
      <c r="O31" s="9">
        <f t="shared" si="10"/>
        <v>7638.2799999999697</v>
      </c>
      <c r="P31"/>
      <c r="Q31"/>
      <c r="R31" t="s">
        <v>145</v>
      </c>
      <c r="S31" s="9">
        <v>-4.13</v>
      </c>
      <c r="V31" s="42"/>
    </row>
    <row r="32" spans="1:24" ht="18.75" x14ac:dyDescent="0.3">
      <c r="A32" s="2">
        <f t="shared" si="11"/>
        <v>44926</v>
      </c>
      <c r="B32" s="9">
        <f t="shared" si="8"/>
        <v>80780.969999999972</v>
      </c>
      <c r="C32" s="9">
        <v>32068.87</v>
      </c>
      <c r="D32" s="9">
        <v>-25755.4</v>
      </c>
      <c r="E32" s="9"/>
      <c r="F32" s="9"/>
      <c r="G32" s="9">
        <v>-1289.46</v>
      </c>
      <c r="H32" s="9"/>
      <c r="I32" s="9"/>
      <c r="J32" s="9"/>
      <c r="K32" s="9">
        <f t="shared" si="7"/>
        <v>85804.979999999967</v>
      </c>
      <c r="M32" s="9">
        <f>+M31-28722.14</f>
        <v>190117.37</v>
      </c>
      <c r="N32" s="9">
        <f t="shared" si="9"/>
        <v>-104312.39000000003</v>
      </c>
      <c r="O32" s="9">
        <f t="shared" si="10"/>
        <v>33746.150000000009</v>
      </c>
      <c r="P32" s="43"/>
      <c r="R32" s="17" t="s">
        <v>149</v>
      </c>
      <c r="S32" s="9">
        <v>-16063.98</v>
      </c>
      <c r="V32" s="42"/>
    </row>
    <row r="33" spans="1:22" ht="18.75" x14ac:dyDescent="0.3">
      <c r="A33" s="2">
        <f t="shared" si="11"/>
        <v>44957</v>
      </c>
      <c r="B33" s="9">
        <f t="shared" si="8"/>
        <v>85804.979999999967</v>
      </c>
      <c r="C33" s="9"/>
      <c r="D33" s="9">
        <v>-11258.37</v>
      </c>
      <c r="E33" s="9"/>
      <c r="F33" s="9">
        <v>3699.88</v>
      </c>
      <c r="G33" s="9"/>
      <c r="H33" s="9"/>
      <c r="I33" s="9"/>
      <c r="J33" s="9"/>
      <c r="K33" s="9">
        <f t="shared" si="7"/>
        <v>78246.489999999976</v>
      </c>
      <c r="M33" s="9">
        <f>+M32-9615.72</f>
        <v>180501.65</v>
      </c>
      <c r="N33" s="9">
        <f t="shared" si="9"/>
        <v>-102255.16000000002</v>
      </c>
      <c r="O33" s="9">
        <f t="shared" si="10"/>
        <v>2057.2300000000105</v>
      </c>
      <c r="P33" s="43"/>
      <c r="R33" s="17" t="s">
        <v>150</v>
      </c>
      <c r="S33" s="9">
        <v>-71996.56</v>
      </c>
      <c r="V33" s="42"/>
    </row>
    <row r="34" spans="1:22" ht="18.75" x14ac:dyDescent="0.3">
      <c r="A34" s="2">
        <f>+A33+28</f>
        <v>44985</v>
      </c>
      <c r="B34" s="9">
        <f t="shared" si="8"/>
        <v>78246.489999999976</v>
      </c>
      <c r="C34" s="9">
        <v>9509.74</v>
      </c>
      <c r="D34" s="9">
        <v>-17726.64</v>
      </c>
      <c r="E34" s="9"/>
      <c r="F34" s="9"/>
      <c r="G34" s="9">
        <v>-786.9</v>
      </c>
      <c r="H34" s="9"/>
      <c r="I34" s="9">
        <v>-5.66</v>
      </c>
      <c r="J34" s="9"/>
      <c r="K34" s="9">
        <f t="shared" si="7"/>
        <v>69237.029999999984</v>
      </c>
      <c r="M34" s="9">
        <f>+M33+-13771.41</f>
        <v>166730.23999999999</v>
      </c>
      <c r="N34" s="9">
        <f t="shared" si="9"/>
        <v>-97493.21</v>
      </c>
      <c r="O34" s="9">
        <f t="shared" si="10"/>
        <v>4761.9500000000116</v>
      </c>
      <c r="P34" s="43"/>
      <c r="R34" s="17" t="s">
        <v>151</v>
      </c>
      <c r="S34" s="9">
        <v>-111768.73</v>
      </c>
      <c r="V34" s="42"/>
    </row>
    <row r="35" spans="1:22" ht="18.75" x14ac:dyDescent="0.3">
      <c r="A35" s="2">
        <f t="shared" si="11"/>
        <v>45016</v>
      </c>
      <c r="B35" s="9">
        <f t="shared" si="8"/>
        <v>69237.029999999984</v>
      </c>
      <c r="C35" s="9"/>
      <c r="D35" s="9">
        <v>-23457.66</v>
      </c>
      <c r="E35" s="9">
        <v>154.80000000000001</v>
      </c>
      <c r="F35" s="9"/>
      <c r="G35" s="9">
        <v>-193.28</v>
      </c>
      <c r="H35" s="9"/>
      <c r="I35" s="9"/>
      <c r="J35" s="9"/>
      <c r="K35" s="9">
        <f t="shared" si="7"/>
        <v>45740.889999999985</v>
      </c>
      <c r="M35" s="9">
        <f>+M34-13288.64</f>
        <v>153441.59999999998</v>
      </c>
      <c r="N35" s="9">
        <f t="shared" si="9"/>
        <v>-107700.70999999999</v>
      </c>
      <c r="O35" s="9">
        <f t="shared" si="10"/>
        <v>-10207.499999999985</v>
      </c>
      <c r="P35" s="43"/>
      <c r="R35" s="17" t="s">
        <v>152</v>
      </c>
      <c r="S35" s="9">
        <v>-48554.14</v>
      </c>
      <c r="V35" s="42"/>
    </row>
    <row r="36" spans="1:22" ht="18.75" x14ac:dyDescent="0.3">
      <c r="A36" s="2">
        <f>+A35+30</f>
        <v>45046</v>
      </c>
      <c r="B36" s="9">
        <f t="shared" si="8"/>
        <v>45740.889999999985</v>
      </c>
      <c r="C36" s="9"/>
      <c r="D36" s="9">
        <v>-5140.43</v>
      </c>
      <c r="E36" s="9"/>
      <c r="F36" s="9">
        <v>980.18</v>
      </c>
      <c r="G36" s="9">
        <v>-222.29</v>
      </c>
      <c r="H36" s="9"/>
      <c r="I36" s="9"/>
      <c r="J36" s="9"/>
      <c r="K36" s="9">
        <f>SUM(B36:J36)</f>
        <v>41358.349999999984</v>
      </c>
      <c r="M36" s="9">
        <f>+M35-9297.93</f>
        <v>144143.66999999998</v>
      </c>
      <c r="N36" s="9">
        <f t="shared" si="9"/>
        <v>-102785.32</v>
      </c>
      <c r="O36" s="9">
        <f t="shared" si="10"/>
        <v>4915.3899999999849</v>
      </c>
      <c r="P36" s="9"/>
      <c r="R36" s="57" t="s">
        <v>155</v>
      </c>
      <c r="S36" s="9">
        <v>-4460.38</v>
      </c>
      <c r="V36" s="42"/>
    </row>
    <row r="37" spans="1:22" ht="18.75" x14ac:dyDescent="0.3">
      <c r="A37" s="2">
        <f t="shared" si="11"/>
        <v>45077</v>
      </c>
      <c r="B37" s="9">
        <f t="shared" si="8"/>
        <v>41358.349999999984</v>
      </c>
      <c r="C37" s="9"/>
      <c r="D37" s="9">
        <v>-4620.41</v>
      </c>
      <c r="E37" s="9"/>
      <c r="F37" s="9">
        <v>134.87</v>
      </c>
      <c r="G37" s="9">
        <v>-453.87</v>
      </c>
      <c r="H37" s="9"/>
      <c r="I37" s="9">
        <v>1.53</v>
      </c>
      <c r="J37" s="9"/>
      <c r="K37" s="9">
        <f t="shared" si="7"/>
        <v>36420.469999999987</v>
      </c>
      <c r="M37" s="9">
        <f>+M36-5057.13</f>
        <v>139086.53999999998</v>
      </c>
      <c r="N37" s="9">
        <f t="shared" si="9"/>
        <v>-102666.06999999999</v>
      </c>
      <c r="O37" s="9">
        <f t="shared" si="10"/>
        <v>119.25000000001455</v>
      </c>
      <c r="P37" s="9"/>
      <c r="V37" s="42"/>
    </row>
    <row r="38" spans="1:22" ht="19.5" thickBot="1" x14ac:dyDescent="0.35">
      <c r="A38" s="2">
        <f>+A37+30</f>
        <v>45107</v>
      </c>
      <c r="B38" s="9">
        <f t="shared" si="8"/>
        <v>36420.469999999987</v>
      </c>
      <c r="C38" s="9"/>
      <c r="D38" s="9">
        <v>-1129.75</v>
      </c>
      <c r="E38" s="9"/>
      <c r="F38" s="9"/>
      <c r="G38" s="9"/>
      <c r="H38" s="9"/>
      <c r="I38" s="9"/>
      <c r="J38" s="9"/>
      <c r="K38" s="9">
        <f t="shared" si="7"/>
        <v>35290.719999999987</v>
      </c>
      <c r="M38" s="9">
        <v>132116.67000000001</v>
      </c>
      <c r="N38" s="15">
        <f>+K38-M38</f>
        <v>-96825.950000000026</v>
      </c>
      <c r="O38" s="9">
        <f t="shared" si="10"/>
        <v>5840.1199999999662</v>
      </c>
      <c r="P38" s="9"/>
      <c r="S38" s="18">
        <f>SUM(S28:S37)</f>
        <v>-96825.950000000012</v>
      </c>
      <c r="V38" s="42"/>
    </row>
    <row r="39" spans="1:22" ht="19.5" thickTop="1" x14ac:dyDescent="0.3">
      <c r="P39" s="9"/>
      <c r="Q39" s="9"/>
      <c r="V39" s="42"/>
    </row>
    <row r="40" spans="1:22" ht="19.5" thickBot="1" x14ac:dyDescent="0.35">
      <c r="A40" t="s">
        <v>16</v>
      </c>
      <c r="B40" s="9"/>
      <c r="C40" s="18">
        <f>SUM(C27:C38)</f>
        <v>150247.06</v>
      </c>
      <c r="D40" s="18">
        <f t="shared" ref="D40:H40" si="12">SUM(D27:D38)</f>
        <v>-256769.55</v>
      </c>
      <c r="E40" s="18">
        <f t="shared" si="12"/>
        <v>154.80000000000001</v>
      </c>
      <c r="F40" s="18">
        <f t="shared" si="12"/>
        <v>24310.77</v>
      </c>
      <c r="G40" s="18">
        <f t="shared" si="12"/>
        <v>-17420.810000000001</v>
      </c>
      <c r="H40" s="18">
        <f t="shared" si="12"/>
        <v>0</v>
      </c>
      <c r="I40" s="18">
        <f>SUM(I27:I38)</f>
        <v>-4.13</v>
      </c>
      <c r="J40" s="18">
        <f t="shared" ref="J40" si="13">SUM(J27:J38)</f>
        <v>0</v>
      </c>
      <c r="K40" s="18">
        <f>+K38</f>
        <v>35290.719999999987</v>
      </c>
      <c r="M40" s="27"/>
      <c r="N40" s="9"/>
      <c r="O40" s="9"/>
      <c r="P40" s="9"/>
      <c r="Q40" s="9"/>
      <c r="R40" s="5"/>
      <c r="S40" s="9">
        <f>+N38-S38</f>
        <v>0</v>
      </c>
      <c r="V40" s="41"/>
    </row>
    <row r="41" spans="1:22" ht="19.5" thickTop="1" x14ac:dyDescent="0.3">
      <c r="A41" s="1"/>
      <c r="R41" s="5"/>
      <c r="V41" s="41" t="s">
        <v>156</v>
      </c>
    </row>
    <row r="42" spans="1:22" ht="18.75" x14ac:dyDescent="0.3">
      <c r="A42" s="23">
        <v>2021</v>
      </c>
      <c r="V42" s="41"/>
    </row>
    <row r="43" spans="1:22" x14ac:dyDescent="0.25">
      <c r="A43" s="33" t="s">
        <v>40</v>
      </c>
      <c r="M43" s="32" t="s">
        <v>43</v>
      </c>
      <c r="R43" s="5"/>
    </row>
    <row r="44" spans="1:22" x14ac:dyDescent="0.25">
      <c r="C44" s="10" t="s">
        <v>19</v>
      </c>
      <c r="D44" s="10" t="s">
        <v>20</v>
      </c>
      <c r="E44" s="10" t="s">
        <v>19</v>
      </c>
      <c r="F44" s="10" t="s">
        <v>19</v>
      </c>
      <c r="G44" s="10" t="s">
        <v>20</v>
      </c>
      <c r="H44" s="10" t="s">
        <v>20</v>
      </c>
      <c r="I44" s="10" t="s">
        <v>21</v>
      </c>
      <c r="J44" s="10" t="s">
        <v>20</v>
      </c>
      <c r="K44" s="7" t="s">
        <v>10</v>
      </c>
      <c r="L44" s="7"/>
      <c r="M44" s="7" t="s">
        <v>9</v>
      </c>
      <c r="N44">
        <v>-1290.98</v>
      </c>
    </row>
    <row r="45" spans="1:22" x14ac:dyDescent="0.25">
      <c r="B45" s="4" t="s">
        <v>1</v>
      </c>
      <c r="C45" s="6" t="s">
        <v>2</v>
      </c>
      <c r="D45" s="6" t="s">
        <v>3</v>
      </c>
      <c r="E45" s="6" t="s">
        <v>12</v>
      </c>
      <c r="F45" s="6" t="s">
        <v>4</v>
      </c>
      <c r="G45" s="6" t="s">
        <v>5</v>
      </c>
      <c r="H45" s="6" t="s">
        <v>13</v>
      </c>
      <c r="I45" s="6" t="s">
        <v>6</v>
      </c>
      <c r="J45" s="6" t="s">
        <v>7</v>
      </c>
      <c r="K45" s="6" t="s">
        <v>8</v>
      </c>
      <c r="L45" s="7"/>
      <c r="M45" s="6" t="s">
        <v>8</v>
      </c>
      <c r="N45" s="6" t="s">
        <v>14</v>
      </c>
      <c r="P45">
        <v>2021</v>
      </c>
      <c r="Q45"/>
    </row>
    <row r="46" spans="1:22" x14ac:dyDescent="0.25">
      <c r="A46" s="2">
        <v>44773</v>
      </c>
      <c r="B46" s="9">
        <v>57921.2</v>
      </c>
      <c r="C46" s="9"/>
      <c r="D46" s="9">
        <v>-1708.74</v>
      </c>
      <c r="E46" s="9"/>
      <c r="F46" s="9">
        <v>510.11</v>
      </c>
      <c r="G46" s="9">
        <v>-510.11</v>
      </c>
      <c r="H46" s="9"/>
      <c r="I46" s="9"/>
      <c r="J46" s="9"/>
      <c r="K46" s="9">
        <f>SUM(B46:J46)</f>
        <v>56212.46</v>
      </c>
      <c r="M46" s="9">
        <f>41439.46+15280.17</f>
        <v>56719.63</v>
      </c>
      <c r="N46" s="3">
        <f t="shared" ref="N46:N57" si="14">+K46-M46</f>
        <v>-507.16999999999825</v>
      </c>
      <c r="O46" s="5">
        <f>+N46-N44</f>
        <v>783.81000000000176</v>
      </c>
      <c r="P46"/>
      <c r="Q46" t="s">
        <v>61</v>
      </c>
      <c r="R46" t="s">
        <v>62</v>
      </c>
      <c r="S46" s="9">
        <v>-1290.98</v>
      </c>
      <c r="T46" s="45" t="s">
        <v>63</v>
      </c>
    </row>
    <row r="47" spans="1:22" x14ac:dyDescent="0.25">
      <c r="A47" s="2">
        <f>+A46+31</f>
        <v>44804</v>
      </c>
      <c r="B47" s="9">
        <f>+K46</f>
        <v>56212.46</v>
      </c>
      <c r="C47" s="9"/>
      <c r="D47" s="9">
        <v>-3325.24</v>
      </c>
      <c r="E47" s="9"/>
      <c r="F47" s="9"/>
      <c r="G47" s="9"/>
      <c r="H47" s="9"/>
      <c r="I47" s="9"/>
      <c r="J47" s="9"/>
      <c r="K47" s="9">
        <f t="shared" ref="K47:K56" si="15">SUM(B47:J47)</f>
        <v>52887.22</v>
      </c>
      <c r="M47" s="9">
        <f>+M46-68310.86</f>
        <v>-11591.230000000003</v>
      </c>
      <c r="N47" s="9">
        <f t="shared" si="14"/>
        <v>64478.450000000004</v>
      </c>
      <c r="O47" s="5">
        <f>+N47-N46</f>
        <v>64985.62</v>
      </c>
      <c r="P47"/>
      <c r="Q47"/>
      <c r="R47" s="17" t="s">
        <v>148</v>
      </c>
      <c r="S47" s="9">
        <f>-23346.76+151.04</f>
        <v>-23195.719999999998</v>
      </c>
    </row>
    <row r="48" spans="1:22" x14ac:dyDescent="0.25">
      <c r="A48" s="2">
        <f>+A47+30</f>
        <v>44834</v>
      </c>
      <c r="B48" s="9">
        <f t="shared" ref="B48:B57" si="16">+K47</f>
        <v>52887.22</v>
      </c>
      <c r="C48" s="9"/>
      <c r="D48" s="9">
        <v>-2841.03</v>
      </c>
      <c r="E48" s="9"/>
      <c r="F48" s="9"/>
      <c r="G48" s="9">
        <v>-405.52</v>
      </c>
      <c r="H48" s="9"/>
      <c r="I48" s="9"/>
      <c r="J48" s="9"/>
      <c r="K48" s="9">
        <f t="shared" si="15"/>
        <v>49640.670000000006</v>
      </c>
      <c r="M48" s="9">
        <f>+M47-112215.71</f>
        <v>-123806.94</v>
      </c>
      <c r="N48" s="9">
        <f t="shared" si="14"/>
        <v>173447.61000000002</v>
      </c>
      <c r="O48" s="5">
        <f t="shared" ref="O48:O57" si="17">+N48-N47</f>
        <v>108969.16</v>
      </c>
      <c r="P48"/>
      <c r="Q48"/>
      <c r="R48" t="s">
        <v>144</v>
      </c>
      <c r="S48" s="9">
        <v>-2157.4499999999998</v>
      </c>
    </row>
    <row r="49" spans="1:23" x14ac:dyDescent="0.25">
      <c r="A49" s="2">
        <f t="shared" ref="A49:A56" si="18">+A48+31</f>
        <v>44865</v>
      </c>
      <c r="B49" s="9">
        <f t="shared" si="16"/>
        <v>49640.670000000006</v>
      </c>
      <c r="C49" s="9"/>
      <c r="D49" s="9">
        <v>-700.02</v>
      </c>
      <c r="E49" s="9"/>
      <c r="F49" s="9"/>
      <c r="G49" s="9"/>
      <c r="H49" s="9"/>
      <c r="I49" s="9"/>
      <c r="J49" s="9"/>
      <c r="K49" s="9">
        <f t="shared" si="15"/>
        <v>48940.650000000009</v>
      </c>
      <c r="M49" s="9">
        <f>+M48-49254.16</f>
        <v>-173061.1</v>
      </c>
      <c r="N49" s="9">
        <f t="shared" si="14"/>
        <v>222001.75</v>
      </c>
      <c r="O49" s="5">
        <f t="shared" si="17"/>
        <v>48554.139999999985</v>
      </c>
      <c r="P49"/>
      <c r="Q49"/>
      <c r="R49" t="s">
        <v>145</v>
      </c>
      <c r="S49" s="9">
        <v>-0.9</v>
      </c>
    </row>
    <row r="50" spans="1:23" x14ac:dyDescent="0.25">
      <c r="A50" s="2">
        <f>+A49+30</f>
        <v>44895</v>
      </c>
      <c r="B50" s="9">
        <f t="shared" si="16"/>
        <v>48940.650000000009</v>
      </c>
      <c r="C50" s="9"/>
      <c r="D50" s="9">
        <v>-495</v>
      </c>
      <c r="E50" s="9"/>
      <c r="F50" s="9">
        <v>405.52</v>
      </c>
      <c r="G50" s="9"/>
      <c r="H50" s="9"/>
      <c r="I50" s="9"/>
      <c r="J50" s="9"/>
      <c r="K50" s="9">
        <f t="shared" si="15"/>
        <v>48851.170000000006</v>
      </c>
      <c r="M50" s="9">
        <f>+M49+11006.48</f>
        <v>-162054.62</v>
      </c>
      <c r="N50" s="9">
        <f t="shared" si="14"/>
        <v>210905.79</v>
      </c>
      <c r="O50" s="5">
        <f t="shared" si="17"/>
        <v>-11095.959999999992</v>
      </c>
      <c r="R50" s="17" t="s">
        <v>149</v>
      </c>
      <c r="S50" s="9">
        <v>16063.98</v>
      </c>
    </row>
    <row r="51" spans="1:23" x14ac:dyDescent="0.25">
      <c r="A51" s="2">
        <f t="shared" si="18"/>
        <v>44926</v>
      </c>
      <c r="B51" s="9">
        <f t="shared" si="16"/>
        <v>48851.170000000006</v>
      </c>
      <c r="C51" s="9"/>
      <c r="D51" s="9">
        <v>-24.62</v>
      </c>
      <c r="E51" s="9"/>
      <c r="F51" s="9"/>
      <c r="G51" s="9"/>
      <c r="H51" s="9"/>
      <c r="I51" s="9"/>
      <c r="J51" s="9"/>
      <c r="K51" s="9">
        <f t="shared" si="15"/>
        <v>48826.55</v>
      </c>
      <c r="M51" s="9">
        <f>+M50-519.62</f>
        <v>-162574.24</v>
      </c>
      <c r="N51" s="9">
        <f t="shared" si="14"/>
        <v>211400.78999999998</v>
      </c>
      <c r="O51" s="5">
        <f t="shared" si="17"/>
        <v>494.9999999999709</v>
      </c>
      <c r="R51" s="17" t="s">
        <v>150</v>
      </c>
      <c r="S51" s="9">
        <v>71996.56</v>
      </c>
      <c r="W51" s="9"/>
    </row>
    <row r="52" spans="1:23" x14ac:dyDescent="0.25">
      <c r="A52" s="2">
        <f t="shared" si="18"/>
        <v>44957</v>
      </c>
      <c r="B52" s="9">
        <f t="shared" si="16"/>
        <v>48826.55</v>
      </c>
      <c r="C52" s="9"/>
      <c r="D52" s="9">
        <v>-292.64999999999998</v>
      </c>
      <c r="E52" s="9"/>
      <c r="F52" s="25"/>
      <c r="G52" s="25"/>
      <c r="H52" s="9"/>
      <c r="I52" s="9"/>
      <c r="J52" s="9"/>
      <c r="K52" s="9">
        <f t="shared" si="15"/>
        <v>48533.9</v>
      </c>
      <c r="M52" s="9">
        <f>+M51</f>
        <v>-162574.24</v>
      </c>
      <c r="N52" s="9">
        <f t="shared" si="14"/>
        <v>211108.13999999998</v>
      </c>
      <c r="O52" s="5">
        <f t="shared" si="17"/>
        <v>-292.64999999999418</v>
      </c>
      <c r="Q52" s="9"/>
      <c r="R52" s="17" t="s">
        <v>151</v>
      </c>
      <c r="S52" s="9">
        <v>111768.73</v>
      </c>
      <c r="W52" s="9"/>
    </row>
    <row r="53" spans="1:23" x14ac:dyDescent="0.25">
      <c r="A53" s="2">
        <f>+A52+28</f>
        <v>44985</v>
      </c>
      <c r="B53" s="9">
        <f t="shared" si="16"/>
        <v>48533.9</v>
      </c>
      <c r="C53" s="25"/>
      <c r="D53" s="25">
        <v>-7764.28</v>
      </c>
      <c r="E53" s="25"/>
      <c r="F53" s="25"/>
      <c r="G53" s="25">
        <v>-283.95999999999998</v>
      </c>
      <c r="H53" s="25"/>
      <c r="I53" s="25">
        <v>-0.9</v>
      </c>
      <c r="J53" s="25"/>
      <c r="K53" s="25">
        <f t="shared" si="15"/>
        <v>40484.76</v>
      </c>
      <c r="M53" s="9">
        <f>+M52+3407.23</f>
        <v>-159167.00999999998</v>
      </c>
      <c r="N53" s="9">
        <f t="shared" si="14"/>
        <v>199651.77</v>
      </c>
      <c r="O53" s="5">
        <f t="shared" si="17"/>
        <v>-11456.369999999995</v>
      </c>
      <c r="P53" s="9"/>
      <c r="Q53" s="9"/>
      <c r="R53" s="17" t="s">
        <v>152</v>
      </c>
      <c r="S53" s="9">
        <v>48554.14</v>
      </c>
      <c r="W53" s="9"/>
    </row>
    <row r="54" spans="1:23" x14ac:dyDescent="0.25">
      <c r="A54" s="2">
        <f t="shared" si="18"/>
        <v>45016</v>
      </c>
      <c r="B54" s="9">
        <f>+K53</f>
        <v>40484.76</v>
      </c>
      <c r="C54" s="25"/>
      <c r="D54" s="25">
        <v>-9466.0499999999993</v>
      </c>
      <c r="E54" s="25"/>
      <c r="F54" s="25"/>
      <c r="G54" s="25">
        <v>-64.88</v>
      </c>
      <c r="H54" s="25"/>
      <c r="I54" s="25"/>
      <c r="J54" s="25"/>
      <c r="K54" s="25">
        <f t="shared" si="15"/>
        <v>30953.83</v>
      </c>
      <c r="M54" s="9">
        <f>+M53-4438.84</f>
        <v>-163605.84999999998</v>
      </c>
      <c r="N54" s="9">
        <f t="shared" si="14"/>
        <v>194559.68</v>
      </c>
      <c r="O54" s="5">
        <f t="shared" si="17"/>
        <v>-5092.0899999999965</v>
      </c>
      <c r="P54" s="9"/>
      <c r="Q54" s="9"/>
      <c r="R54" s="57" t="s">
        <v>155</v>
      </c>
      <c r="S54" s="9">
        <v>-6612.97</v>
      </c>
      <c r="T54" t="s">
        <v>154</v>
      </c>
    </row>
    <row r="55" spans="1:23" x14ac:dyDescent="0.25">
      <c r="A55" s="2">
        <f>+A54+30</f>
        <v>45046</v>
      </c>
      <c r="B55" s="9">
        <f t="shared" si="16"/>
        <v>30953.83</v>
      </c>
      <c r="C55" s="25"/>
      <c r="D55" s="25">
        <v>-3373.21</v>
      </c>
      <c r="E55" s="25"/>
      <c r="F55" s="25">
        <v>366.61</v>
      </c>
      <c r="G55" s="25">
        <v>-481.31</v>
      </c>
      <c r="H55" s="25"/>
      <c r="I55" s="25"/>
      <c r="J55" s="25"/>
      <c r="K55" s="25">
        <f>SUM(B55:J55)</f>
        <v>27465.920000000002</v>
      </c>
      <c r="M55" s="9">
        <f>+M54-2894.29</f>
        <v>-166500.13999999998</v>
      </c>
      <c r="N55" s="3">
        <f t="shared" si="14"/>
        <v>193966.06</v>
      </c>
      <c r="O55" s="5">
        <f t="shared" si="17"/>
        <v>-593.61999999999534</v>
      </c>
      <c r="P55" s="9"/>
      <c r="Q55" s="9"/>
      <c r="R55" s="3"/>
    </row>
    <row r="56" spans="1:23" x14ac:dyDescent="0.25">
      <c r="A56" s="2">
        <f t="shared" si="18"/>
        <v>45077</v>
      </c>
      <c r="B56" s="9">
        <f t="shared" si="16"/>
        <v>27465.920000000002</v>
      </c>
      <c r="C56" s="25"/>
      <c r="D56" s="25">
        <v>-7760.84</v>
      </c>
      <c r="E56" s="25"/>
      <c r="F56" s="25">
        <v>397.31</v>
      </c>
      <c r="G56" s="25">
        <v>-411.67</v>
      </c>
      <c r="H56" s="25"/>
      <c r="I56" s="25"/>
      <c r="J56" s="25"/>
      <c r="K56" s="25">
        <f t="shared" si="15"/>
        <v>19690.720000000005</v>
      </c>
      <c r="M56" s="9">
        <f>+M55-6611.18</f>
        <v>-173111.31999999998</v>
      </c>
      <c r="N56" s="3">
        <f t="shared" si="14"/>
        <v>192802.03999999998</v>
      </c>
      <c r="O56" s="5">
        <f t="shared" si="17"/>
        <v>-1164.0200000000186</v>
      </c>
      <c r="Q56" s="9"/>
      <c r="R56" s="3"/>
      <c r="U56" s="5"/>
    </row>
    <row r="57" spans="1:23" ht="15.75" thickBot="1" x14ac:dyDescent="0.3">
      <c r="A57" s="2">
        <f>+A56+30</f>
        <v>45107</v>
      </c>
      <c r="B57" s="9">
        <f t="shared" si="16"/>
        <v>19690.720000000005</v>
      </c>
      <c r="C57" s="25"/>
      <c r="D57" s="25">
        <v>-2941.59</v>
      </c>
      <c r="E57" s="25"/>
      <c r="F57" s="25"/>
      <c r="G57" s="25"/>
      <c r="H57" s="25"/>
      <c r="I57" s="25"/>
      <c r="J57" s="25"/>
      <c r="K57" s="25">
        <f>SUM(B57:J57)</f>
        <v>16749.130000000005</v>
      </c>
      <c r="M57" s="9">
        <v>-198376.26</v>
      </c>
      <c r="N57" s="14">
        <f t="shared" si="14"/>
        <v>215125.39</v>
      </c>
      <c r="O57" s="5">
        <f t="shared" si="17"/>
        <v>22323.350000000035</v>
      </c>
      <c r="Q57" s="9"/>
      <c r="S57" s="18">
        <f>SUM(S46:S56)</f>
        <v>215125.38999999998</v>
      </c>
    </row>
    <row r="58" spans="1:23" ht="15.75" thickTop="1" x14ac:dyDescent="0.25">
      <c r="B58" s="9"/>
      <c r="C58" s="9"/>
      <c r="D58" s="9"/>
      <c r="E58" s="9"/>
      <c r="F58" s="9"/>
      <c r="G58" s="9"/>
      <c r="H58" s="9"/>
      <c r="I58" s="9"/>
      <c r="J58" s="9"/>
      <c r="K58" s="9"/>
      <c r="M58" s="9"/>
      <c r="Q58" s="9"/>
    </row>
    <row r="59" spans="1:23" ht="15.75" thickBot="1" x14ac:dyDescent="0.3">
      <c r="A59" t="s">
        <v>16</v>
      </c>
      <c r="B59" s="3"/>
      <c r="C59" s="8">
        <f>SUM(C46:C57)</f>
        <v>0</v>
      </c>
      <c r="D59" s="8">
        <f t="shared" ref="D59:J59" si="19">SUM(D46:D57)</f>
        <v>-40693.270000000004</v>
      </c>
      <c r="E59" s="8">
        <f t="shared" si="19"/>
        <v>0</v>
      </c>
      <c r="F59" s="8">
        <f t="shared" si="19"/>
        <v>1679.55</v>
      </c>
      <c r="G59" s="8">
        <f t="shared" si="19"/>
        <v>-2157.4499999999998</v>
      </c>
      <c r="H59" s="8">
        <f t="shared" si="19"/>
        <v>0</v>
      </c>
      <c r="I59" s="8">
        <f t="shared" si="19"/>
        <v>-0.9</v>
      </c>
      <c r="J59" s="8">
        <f t="shared" si="19"/>
        <v>0</v>
      </c>
      <c r="K59" s="8">
        <f>+K57</f>
        <v>16749.130000000005</v>
      </c>
      <c r="M59" s="5"/>
      <c r="N59" s="3"/>
      <c r="Q59" s="9"/>
      <c r="S59" s="9">
        <f>+N57-S57</f>
        <v>0</v>
      </c>
    </row>
    <row r="60" spans="1:23" ht="15.75" thickTop="1" x14ac:dyDescent="0.25">
      <c r="B60" s="3"/>
      <c r="C60" s="11"/>
      <c r="D60" s="11"/>
      <c r="E60" s="11"/>
      <c r="F60" s="11"/>
      <c r="G60" s="11"/>
      <c r="H60" s="11"/>
      <c r="I60" s="11"/>
      <c r="J60" s="11"/>
      <c r="K60" s="11"/>
      <c r="N60" s="3"/>
      <c r="S60" s="60"/>
    </row>
    <row r="61" spans="1:23" x14ac:dyDescent="0.25">
      <c r="A61" s="12" t="s">
        <v>23</v>
      </c>
      <c r="B61" s="3"/>
      <c r="C61" s="11"/>
      <c r="D61" s="11"/>
      <c r="E61" s="11"/>
      <c r="F61" s="11"/>
      <c r="G61" s="11"/>
      <c r="H61" s="11"/>
      <c r="I61" s="11"/>
      <c r="J61" s="11"/>
      <c r="K61" s="11"/>
      <c r="N61" s="3"/>
    </row>
    <row r="62" spans="1:23" ht="18.75" x14ac:dyDescent="0.25">
      <c r="A62" s="23">
        <v>2020</v>
      </c>
      <c r="B62" s="3"/>
      <c r="C62" s="11"/>
      <c r="D62" s="11"/>
      <c r="E62" s="11"/>
      <c r="F62" s="11"/>
      <c r="G62" s="11"/>
      <c r="H62" s="11"/>
      <c r="I62" s="11"/>
      <c r="J62" s="11"/>
      <c r="K62" s="11"/>
      <c r="N62" s="3"/>
    </row>
    <row r="63" spans="1:23" x14ac:dyDescent="0.25">
      <c r="A63" s="33" t="s">
        <v>11</v>
      </c>
      <c r="M63" s="32" t="s">
        <v>24</v>
      </c>
      <c r="O63">
        <v>1403.18</v>
      </c>
    </row>
    <row r="64" spans="1:23" x14ac:dyDescent="0.25">
      <c r="C64" s="10" t="s">
        <v>19</v>
      </c>
      <c r="D64" s="10" t="s">
        <v>20</v>
      </c>
      <c r="E64" s="10" t="s">
        <v>19</v>
      </c>
      <c r="F64" s="10" t="s">
        <v>19</v>
      </c>
      <c r="G64" s="10" t="s">
        <v>20</v>
      </c>
      <c r="H64" s="10" t="s">
        <v>20</v>
      </c>
      <c r="I64" s="10" t="s">
        <v>21</v>
      </c>
      <c r="J64" s="10" t="s">
        <v>20</v>
      </c>
      <c r="K64" s="7" t="s">
        <v>10</v>
      </c>
      <c r="L64" s="7"/>
      <c r="M64" s="7" t="s">
        <v>9</v>
      </c>
    </row>
    <row r="65" spans="1:20" x14ac:dyDescent="0.25">
      <c r="B65" s="4" t="s">
        <v>1</v>
      </c>
      <c r="C65" s="6" t="s">
        <v>2</v>
      </c>
      <c r="D65" s="6" t="s">
        <v>3</v>
      </c>
      <c r="E65" s="6" t="s">
        <v>12</v>
      </c>
      <c r="F65" s="6" t="s">
        <v>4</v>
      </c>
      <c r="G65" s="6" t="s">
        <v>5</v>
      </c>
      <c r="H65" s="6" t="s">
        <v>13</v>
      </c>
      <c r="I65" s="6" t="s">
        <v>6</v>
      </c>
      <c r="J65" s="6" t="s">
        <v>7</v>
      </c>
      <c r="K65" s="6" t="s">
        <v>8</v>
      </c>
      <c r="L65" s="7"/>
      <c r="M65" s="6" t="s">
        <v>8</v>
      </c>
      <c r="N65" s="6" t="s">
        <v>14</v>
      </c>
      <c r="P65">
        <v>2020</v>
      </c>
      <c r="Q65"/>
    </row>
    <row r="66" spans="1:20" x14ac:dyDescent="0.25">
      <c r="A66" s="2">
        <v>44773</v>
      </c>
      <c r="B66" s="9">
        <v>11065.320000000012</v>
      </c>
      <c r="C66" s="9"/>
      <c r="D66" s="9">
        <v>-1734.45</v>
      </c>
      <c r="E66" s="9"/>
      <c r="F66" s="9"/>
      <c r="G66" s="9"/>
      <c r="H66" s="9"/>
      <c r="I66" s="25"/>
      <c r="J66" s="9"/>
      <c r="K66" s="9">
        <f>SUM(B66:J66)</f>
        <v>9330.8700000000117</v>
      </c>
      <c r="M66" s="9">
        <v>9380.7000000000007</v>
      </c>
      <c r="N66" s="3">
        <f t="shared" ref="N66:N77" si="20">+K66-M66</f>
        <v>-49.829999999989013</v>
      </c>
      <c r="O66" s="5"/>
      <c r="P66"/>
      <c r="Q66" t="s">
        <v>61</v>
      </c>
      <c r="R66" t="s">
        <v>64</v>
      </c>
      <c r="S66" s="9">
        <v>1540.64</v>
      </c>
      <c r="T66" s="45"/>
    </row>
    <row r="67" spans="1:20" x14ac:dyDescent="0.25">
      <c r="A67" s="2">
        <f>+A66+31</f>
        <v>44804</v>
      </c>
      <c r="B67" s="9">
        <f>+K66</f>
        <v>9330.8700000000117</v>
      </c>
      <c r="C67" s="9"/>
      <c r="D67" s="9">
        <v>-1350</v>
      </c>
      <c r="E67" s="9"/>
      <c r="F67" s="9"/>
      <c r="G67" s="9"/>
      <c r="H67" s="9"/>
      <c r="I67" s="25"/>
      <c r="J67" s="9"/>
      <c r="K67" s="9">
        <f t="shared" ref="K67:K77" si="21">SUM(B67:J67)</f>
        <v>7980.8700000000117</v>
      </c>
      <c r="M67" s="9">
        <f>+M66</f>
        <v>9380.7000000000007</v>
      </c>
      <c r="N67" s="3">
        <f t="shared" si="20"/>
        <v>-1399.829999999989</v>
      </c>
      <c r="O67" s="5"/>
      <c r="P67"/>
      <c r="Q67"/>
      <c r="R67" s="56" t="s">
        <v>153</v>
      </c>
      <c r="S67" s="9">
        <v>-281.83</v>
      </c>
      <c r="T67" s="45"/>
    </row>
    <row r="68" spans="1:20" x14ac:dyDescent="0.25">
      <c r="A68" s="2">
        <f>+A67+30</f>
        <v>44834</v>
      </c>
      <c r="B68" s="9">
        <f t="shared" ref="B68:B77" si="22">+K67</f>
        <v>7980.8700000000117</v>
      </c>
      <c r="C68" s="9"/>
      <c r="D68" s="9">
        <v>-47.48</v>
      </c>
      <c r="E68" s="9"/>
      <c r="F68" s="9"/>
      <c r="G68" s="9"/>
      <c r="H68" s="9"/>
      <c r="I68" s="25"/>
      <c r="J68" s="9"/>
      <c r="K68" s="9">
        <f t="shared" si="21"/>
        <v>7933.3900000000122</v>
      </c>
      <c r="M68" s="9">
        <f>+M67</f>
        <v>9380.7000000000007</v>
      </c>
      <c r="N68" s="9">
        <f t="shared" si="20"/>
        <v>-1447.3099999999886</v>
      </c>
      <c r="O68" s="5"/>
      <c r="P68"/>
      <c r="Q68"/>
      <c r="R68" s="17" t="s">
        <v>147</v>
      </c>
      <c r="S68" s="9">
        <v>-88.45</v>
      </c>
    </row>
    <row r="69" spans="1:20" ht="15.75" thickBot="1" x14ac:dyDescent="0.3">
      <c r="A69" s="2">
        <f t="shared" ref="A69:A76" si="23">+A68+31</f>
        <v>44865</v>
      </c>
      <c r="B69" s="9">
        <f t="shared" si="22"/>
        <v>7933.3900000000122</v>
      </c>
      <c r="C69" s="9"/>
      <c r="D69" s="9">
        <v>-87.1</v>
      </c>
      <c r="E69" s="9"/>
      <c r="F69" s="9"/>
      <c r="G69" s="9"/>
      <c r="H69" s="9"/>
      <c r="I69" s="25"/>
      <c r="J69" s="9"/>
      <c r="K69" s="9">
        <f t="shared" si="21"/>
        <v>7846.2900000000118</v>
      </c>
      <c r="M69" s="9">
        <f>+M68-3075.05</f>
        <v>6305.6500000000005</v>
      </c>
      <c r="N69" s="9">
        <f>+K69-M69</f>
        <v>1540.6400000000112</v>
      </c>
      <c r="O69" s="5"/>
      <c r="P69"/>
      <c r="Q69"/>
      <c r="S69" s="18">
        <f>SUM(S66:S68)</f>
        <v>1170.3600000000001</v>
      </c>
    </row>
    <row r="70" spans="1:20" ht="15.75" thickTop="1" x14ac:dyDescent="0.25">
      <c r="A70" s="2">
        <f>+A69+30</f>
        <v>44895</v>
      </c>
      <c r="B70" s="9">
        <f t="shared" si="22"/>
        <v>7846.2900000000118</v>
      </c>
      <c r="C70" s="9"/>
      <c r="D70" s="9"/>
      <c r="E70" s="9"/>
      <c r="F70" s="9">
        <v>1350</v>
      </c>
      <c r="G70" s="9"/>
      <c r="H70" s="9"/>
      <c r="I70" s="25"/>
      <c r="J70" s="9"/>
      <c r="K70" s="9">
        <f t="shared" si="21"/>
        <v>9196.2900000000118</v>
      </c>
      <c r="M70" s="9">
        <f>+M69+1350</f>
        <v>7655.6500000000005</v>
      </c>
      <c r="N70" s="9">
        <f t="shared" si="20"/>
        <v>1540.6400000000112</v>
      </c>
      <c r="O70" s="5"/>
      <c r="P70" s="39"/>
    </row>
    <row r="71" spans="1:20" x14ac:dyDescent="0.25">
      <c r="A71" s="2">
        <f t="shared" si="23"/>
        <v>44926</v>
      </c>
      <c r="B71" s="9">
        <f t="shared" si="22"/>
        <v>9196.2900000000118</v>
      </c>
      <c r="C71" s="9"/>
      <c r="D71" s="9"/>
      <c r="E71" s="9"/>
      <c r="F71" s="9"/>
      <c r="G71" s="49">
        <v>-88.45</v>
      </c>
      <c r="H71" s="9"/>
      <c r="I71" s="25"/>
      <c r="J71" s="9"/>
      <c r="K71" s="9">
        <f t="shared" si="21"/>
        <v>9107.8400000000111</v>
      </c>
      <c r="M71" s="9">
        <f>+M70</f>
        <v>7655.6500000000005</v>
      </c>
      <c r="N71" s="9">
        <f t="shared" si="20"/>
        <v>1452.1900000000105</v>
      </c>
      <c r="O71" s="5"/>
    </row>
    <row r="72" spans="1:20" x14ac:dyDescent="0.25">
      <c r="A72" s="2">
        <f t="shared" si="23"/>
        <v>44957</v>
      </c>
      <c r="B72" s="9">
        <f t="shared" si="22"/>
        <v>9107.8400000000111</v>
      </c>
      <c r="C72" s="9"/>
      <c r="D72" s="9"/>
      <c r="E72" s="9"/>
      <c r="F72" s="9">
        <v>88.45</v>
      </c>
      <c r="G72" s="25"/>
      <c r="H72" s="9"/>
      <c r="I72" s="25"/>
      <c r="J72" s="9"/>
      <c r="K72" s="9">
        <f t="shared" si="21"/>
        <v>9196.2900000000118</v>
      </c>
      <c r="M72" s="9">
        <f>+M71</f>
        <v>7655.6500000000005</v>
      </c>
      <c r="N72" s="3">
        <f t="shared" si="20"/>
        <v>1540.6400000000112</v>
      </c>
      <c r="O72" s="5"/>
    </row>
    <row r="73" spans="1:20" x14ac:dyDescent="0.25">
      <c r="A73" s="2">
        <f>+A72+28</f>
        <v>44985</v>
      </c>
      <c r="B73" s="9">
        <f t="shared" si="22"/>
        <v>9196.2900000000118</v>
      </c>
      <c r="C73" s="9"/>
      <c r="D73" s="49">
        <v>-1711.19</v>
      </c>
      <c r="E73" s="9"/>
      <c r="F73" s="9"/>
      <c r="G73" s="25"/>
      <c r="H73" s="9"/>
      <c r="I73" s="25"/>
      <c r="J73" s="9"/>
      <c r="K73" s="9">
        <f t="shared" si="21"/>
        <v>7485.1000000000113</v>
      </c>
      <c r="M73" s="9">
        <f>+M72-1340.91</f>
        <v>6314.7400000000007</v>
      </c>
      <c r="N73" s="9">
        <f t="shared" si="20"/>
        <v>1170.3600000000106</v>
      </c>
      <c r="O73" s="5"/>
      <c r="P73" s="9"/>
      <c r="Q73" s="9"/>
    </row>
    <row r="74" spans="1:20" x14ac:dyDescent="0.25">
      <c r="A74" s="2">
        <f t="shared" si="23"/>
        <v>45016</v>
      </c>
      <c r="B74" s="9">
        <f t="shared" si="22"/>
        <v>7485.1000000000113</v>
      </c>
      <c r="C74" s="9"/>
      <c r="D74" s="9">
        <v>-550.91999999999996</v>
      </c>
      <c r="E74" s="9"/>
      <c r="F74" s="9"/>
      <c r="G74" s="25"/>
      <c r="H74" s="9"/>
      <c r="I74" s="25"/>
      <c r="J74" s="9"/>
      <c r="K74" s="9">
        <f t="shared" si="21"/>
        <v>6934.1800000000112</v>
      </c>
      <c r="M74" s="9">
        <f>+M73+-394.66</f>
        <v>5920.0800000000008</v>
      </c>
      <c r="N74" s="3">
        <f t="shared" si="20"/>
        <v>1014.1000000000104</v>
      </c>
      <c r="O74" s="5"/>
      <c r="P74" s="39"/>
    </row>
    <row r="75" spans="1:20" x14ac:dyDescent="0.25">
      <c r="A75" s="2">
        <f>+A74+30</f>
        <v>45046</v>
      </c>
      <c r="B75" s="9">
        <f t="shared" si="22"/>
        <v>6934.1800000000112</v>
      </c>
      <c r="C75" s="9"/>
      <c r="D75" s="9">
        <v>-163.12</v>
      </c>
      <c r="E75" s="9"/>
      <c r="F75" s="9"/>
      <c r="G75" s="25"/>
      <c r="H75" s="9"/>
      <c r="I75" s="25"/>
      <c r="J75" s="9"/>
      <c r="K75" s="9">
        <f t="shared" si="21"/>
        <v>6771.0600000000113</v>
      </c>
      <c r="M75" s="9">
        <f>+M74-66.07</f>
        <v>5854.0100000000011</v>
      </c>
      <c r="N75" s="3">
        <f t="shared" si="20"/>
        <v>917.05000000001019</v>
      </c>
      <c r="O75" s="5"/>
      <c r="P75" s="39"/>
    </row>
    <row r="76" spans="1:20" x14ac:dyDescent="0.25">
      <c r="A76" s="2">
        <f t="shared" si="23"/>
        <v>45077</v>
      </c>
      <c r="B76" s="9">
        <f t="shared" si="22"/>
        <v>6771.0600000000113</v>
      </c>
      <c r="C76" s="9"/>
      <c r="D76" s="9">
        <v>-395.42</v>
      </c>
      <c r="E76" s="9"/>
      <c r="F76" s="9"/>
      <c r="G76" s="9"/>
      <c r="H76" s="9"/>
      <c r="I76" s="25"/>
      <c r="J76" s="9"/>
      <c r="K76" s="9">
        <f t="shared" si="21"/>
        <v>6375.6400000000112</v>
      </c>
      <c r="M76" s="9">
        <f>+M75-223.3</f>
        <v>5630.7100000000009</v>
      </c>
      <c r="N76" s="3">
        <f t="shared" si="20"/>
        <v>744.9300000000103</v>
      </c>
      <c r="O76" s="5"/>
    </row>
    <row r="77" spans="1:20" x14ac:dyDescent="0.25">
      <c r="A77" s="2">
        <f>+A76+30</f>
        <v>45107</v>
      </c>
      <c r="B77" s="9">
        <f t="shared" si="22"/>
        <v>6375.6400000000112</v>
      </c>
      <c r="C77" s="9"/>
      <c r="D77" s="9">
        <v>-104.98</v>
      </c>
      <c r="E77" s="9"/>
      <c r="F77" s="9"/>
      <c r="G77" s="9"/>
      <c r="H77" s="9"/>
      <c r="I77" s="25"/>
      <c r="J77" s="9"/>
      <c r="K77" s="9">
        <f t="shared" si="21"/>
        <v>6270.6600000000117</v>
      </c>
      <c r="M77" s="9">
        <v>5100.3</v>
      </c>
      <c r="N77" s="14">
        <f t="shared" si="20"/>
        <v>1170.3600000000115</v>
      </c>
      <c r="O77" s="5"/>
    </row>
    <row r="78" spans="1:20" x14ac:dyDescent="0.25">
      <c r="B78" s="3"/>
      <c r="C78" s="3"/>
      <c r="D78" s="3"/>
      <c r="E78" s="3"/>
      <c r="F78" s="3"/>
      <c r="G78" s="3"/>
      <c r="H78" s="3"/>
      <c r="I78" s="28"/>
      <c r="J78" s="3"/>
      <c r="K78" s="3"/>
      <c r="M78" s="3"/>
      <c r="O78" s="5"/>
    </row>
    <row r="79" spans="1:20" ht="15.75" thickBot="1" x14ac:dyDescent="0.3">
      <c r="A79" t="s">
        <v>16</v>
      </c>
      <c r="B79" s="3"/>
      <c r="C79" s="8">
        <f>SUM(C67:C77)</f>
        <v>0</v>
      </c>
      <c r="D79" s="8">
        <f t="shared" ref="D79:J79" si="24">SUM(D66:D77)</f>
        <v>-6144.6599999999989</v>
      </c>
      <c r="E79" s="8">
        <f t="shared" si="24"/>
        <v>0</v>
      </c>
      <c r="F79" s="8">
        <f t="shared" si="24"/>
        <v>1438.45</v>
      </c>
      <c r="G79" s="8">
        <f t="shared" si="24"/>
        <v>-88.45</v>
      </c>
      <c r="H79" s="8">
        <f t="shared" si="24"/>
        <v>0</v>
      </c>
      <c r="I79" s="8">
        <f t="shared" si="24"/>
        <v>0</v>
      </c>
      <c r="J79" s="8">
        <f t="shared" si="24"/>
        <v>0</v>
      </c>
      <c r="K79" s="18">
        <f>+K77</f>
        <v>6270.6600000000117</v>
      </c>
      <c r="N79" s="3"/>
      <c r="O79" s="5"/>
    </row>
    <row r="80" spans="1:20" ht="15.75" thickTop="1" x14ac:dyDescent="0.25">
      <c r="B80" s="3"/>
      <c r="C80" s="11"/>
      <c r="D80" s="11"/>
      <c r="E80" s="11"/>
      <c r="F80" s="11"/>
      <c r="G80" s="11"/>
      <c r="H80" s="11"/>
      <c r="I80" s="11"/>
      <c r="J80" s="11"/>
      <c r="K80" s="11"/>
      <c r="N80" s="3"/>
      <c r="O80" s="5"/>
    </row>
    <row r="81" spans="1:22" x14ac:dyDescent="0.25">
      <c r="A81" s="12" t="s">
        <v>23</v>
      </c>
      <c r="K81" s="5"/>
      <c r="N81" s="3"/>
    </row>
    <row r="82" spans="1:22" ht="18.75" x14ac:dyDescent="0.25">
      <c r="A82" s="23">
        <v>2019</v>
      </c>
      <c r="N82" s="3"/>
    </row>
    <row r="83" spans="1:22" x14ac:dyDescent="0.25">
      <c r="A83" s="33" t="s">
        <v>17</v>
      </c>
      <c r="M83" s="32" t="s">
        <v>34</v>
      </c>
    </row>
    <row r="84" spans="1:22" x14ac:dyDescent="0.25">
      <c r="C84" s="10" t="s">
        <v>19</v>
      </c>
      <c r="D84" s="10" t="s">
        <v>20</v>
      </c>
      <c r="E84" s="10" t="s">
        <v>19</v>
      </c>
      <c r="F84" s="10" t="s">
        <v>19</v>
      </c>
      <c r="G84" s="10" t="s">
        <v>20</v>
      </c>
      <c r="H84" s="10" t="s">
        <v>20</v>
      </c>
      <c r="I84" s="10" t="s">
        <v>21</v>
      </c>
      <c r="J84" s="10" t="s">
        <v>20</v>
      </c>
      <c r="K84" s="7" t="s">
        <v>10</v>
      </c>
      <c r="L84" s="7"/>
      <c r="M84" s="7" t="s">
        <v>9</v>
      </c>
    </row>
    <row r="85" spans="1:22" x14ac:dyDescent="0.25">
      <c r="B85" s="4" t="s">
        <v>1</v>
      </c>
      <c r="C85" s="6" t="s">
        <v>2</v>
      </c>
      <c r="D85" s="6" t="s">
        <v>3</v>
      </c>
      <c r="E85" s="6" t="s">
        <v>12</v>
      </c>
      <c r="F85" s="6" t="s">
        <v>4</v>
      </c>
      <c r="G85" s="6" t="s">
        <v>5</v>
      </c>
      <c r="H85" s="6" t="s">
        <v>13</v>
      </c>
      <c r="I85" s="6" t="s">
        <v>6</v>
      </c>
      <c r="J85" s="6" t="s">
        <v>7</v>
      </c>
      <c r="K85" s="6" t="s">
        <v>8</v>
      </c>
      <c r="L85" s="7"/>
      <c r="M85" s="6" t="s">
        <v>8</v>
      </c>
      <c r="N85" s="6" t="s">
        <v>14</v>
      </c>
    </row>
    <row r="86" spans="1:22" x14ac:dyDescent="0.25">
      <c r="A86" s="2">
        <v>44773</v>
      </c>
      <c r="B86" s="25">
        <v>16682.939999999999</v>
      </c>
      <c r="C86" s="25"/>
      <c r="D86" s="55">
        <v>-877.5</v>
      </c>
      <c r="E86" s="25"/>
      <c r="F86" s="25"/>
      <c r="G86" s="25"/>
      <c r="H86" s="25"/>
      <c r="I86" s="25"/>
      <c r="J86" s="25"/>
      <c r="K86" s="3">
        <f t="shared" ref="K86:K97" si="25">SUM(B86:J86)</f>
        <v>15805.439999999999</v>
      </c>
      <c r="M86" s="3">
        <v>16675.13</v>
      </c>
      <c r="N86" s="3">
        <f t="shared" ref="N86:N97" si="26">+K86-M86</f>
        <v>-869.69000000000233</v>
      </c>
      <c r="P86">
        <v>2020</v>
      </c>
      <c r="Q86"/>
    </row>
    <row r="87" spans="1:22" x14ac:dyDescent="0.25">
      <c r="A87" s="2">
        <f>+A86+31</f>
        <v>44804</v>
      </c>
      <c r="B87" s="25">
        <f>+K86</f>
        <v>15805.439999999999</v>
      </c>
      <c r="C87" s="25"/>
      <c r="D87" s="55">
        <v>-77.5</v>
      </c>
      <c r="E87" s="25"/>
      <c r="F87" s="25"/>
      <c r="G87" s="25"/>
      <c r="H87" s="25"/>
      <c r="I87" s="25"/>
      <c r="J87" s="25"/>
      <c r="K87" s="3">
        <f t="shared" si="25"/>
        <v>15727.939999999999</v>
      </c>
      <c r="M87" s="3">
        <f>+M86</f>
        <v>16675.13</v>
      </c>
      <c r="N87" s="3">
        <f t="shared" si="26"/>
        <v>-947.19000000000233</v>
      </c>
      <c r="P87"/>
      <c r="Q87"/>
      <c r="R87" t="s">
        <v>158</v>
      </c>
      <c r="S87" s="9">
        <v>7.81</v>
      </c>
      <c r="T87" s="45"/>
    </row>
    <row r="88" spans="1:22" x14ac:dyDescent="0.25">
      <c r="A88" s="2">
        <f>+A87+30</f>
        <v>44834</v>
      </c>
      <c r="B88" s="25">
        <f t="shared" ref="B88:B97" si="27">+K87</f>
        <v>15727.939999999999</v>
      </c>
      <c r="C88" s="25"/>
      <c r="D88" s="55">
        <v>-7250</v>
      </c>
      <c r="E88" s="25"/>
      <c r="F88" s="25"/>
      <c r="G88" s="25"/>
      <c r="H88" s="25"/>
      <c r="I88" s="25"/>
      <c r="J88" s="25"/>
      <c r="K88" s="3">
        <f t="shared" si="25"/>
        <v>8477.9399999999987</v>
      </c>
      <c r="M88" s="3">
        <f>+M87</f>
        <v>16675.13</v>
      </c>
      <c r="N88" s="3">
        <f t="shared" si="26"/>
        <v>-8197.1900000000023</v>
      </c>
      <c r="O88" s="5"/>
      <c r="P88"/>
      <c r="Q88"/>
      <c r="R88" s="56" t="s">
        <v>153</v>
      </c>
      <c r="S88" s="9">
        <v>-48.75</v>
      </c>
      <c r="T88" s="45"/>
      <c r="U88" s="5"/>
      <c r="V88" s="5"/>
    </row>
    <row r="89" spans="1:22" x14ac:dyDescent="0.25">
      <c r="A89" s="2">
        <f t="shared" ref="A89:A96" si="28">+A88+31</f>
        <v>44865</v>
      </c>
      <c r="B89" s="25">
        <f t="shared" si="27"/>
        <v>8477.9399999999987</v>
      </c>
      <c r="C89" s="25"/>
      <c r="D89" s="55">
        <v>-21.88</v>
      </c>
      <c r="E89" s="25"/>
      <c r="F89" s="25"/>
      <c r="G89" s="25"/>
      <c r="H89" s="25"/>
      <c r="I89" s="25"/>
      <c r="J89" s="25"/>
      <c r="K89" s="3">
        <f t="shared" si="25"/>
        <v>8456.06</v>
      </c>
      <c r="M89" s="3">
        <f>+M88-8226.88</f>
        <v>8448.2500000000018</v>
      </c>
      <c r="N89" s="9">
        <f t="shared" si="26"/>
        <v>7.8099999999976717</v>
      </c>
      <c r="O89" t="s">
        <v>55</v>
      </c>
      <c r="P89"/>
      <c r="Q89"/>
      <c r="R89" s="17"/>
      <c r="U89" s="5"/>
      <c r="V89" s="5"/>
    </row>
    <row r="90" spans="1:22" ht="15.75" thickBot="1" x14ac:dyDescent="0.3">
      <c r="A90" s="2">
        <f>+A89+30</f>
        <v>44895</v>
      </c>
      <c r="B90" s="25">
        <f t="shared" si="27"/>
        <v>8456.06</v>
      </c>
      <c r="C90" s="25"/>
      <c r="D90" s="25"/>
      <c r="E90" s="25"/>
      <c r="F90" s="25"/>
      <c r="G90" s="25"/>
      <c r="H90" s="25"/>
      <c r="I90" s="25"/>
      <c r="J90" s="25"/>
      <c r="K90" s="3">
        <f t="shared" si="25"/>
        <v>8456.06</v>
      </c>
      <c r="M90" s="9">
        <f>+M89</f>
        <v>8448.2500000000018</v>
      </c>
      <c r="N90" s="9">
        <f t="shared" si="26"/>
        <v>7.8099999999976717</v>
      </c>
      <c r="O90" s="5"/>
      <c r="P90"/>
      <c r="Q90"/>
      <c r="S90" s="18">
        <f>SUM(S87:S89)</f>
        <v>-40.94</v>
      </c>
      <c r="U90" s="5"/>
      <c r="V90" s="5"/>
    </row>
    <row r="91" spans="1:22" ht="15.75" thickTop="1" x14ac:dyDescent="0.25">
      <c r="A91" s="2">
        <f t="shared" si="28"/>
        <v>44926</v>
      </c>
      <c r="B91" s="25">
        <f t="shared" si="27"/>
        <v>8456.06</v>
      </c>
      <c r="C91" s="25"/>
      <c r="D91" s="25"/>
      <c r="E91" s="25"/>
      <c r="F91" s="25"/>
      <c r="G91" s="25"/>
      <c r="H91" s="25"/>
      <c r="I91" s="25"/>
      <c r="J91" s="25"/>
      <c r="K91" s="3">
        <f t="shared" si="25"/>
        <v>8456.06</v>
      </c>
      <c r="M91" s="9">
        <f>+M90</f>
        <v>8448.2500000000018</v>
      </c>
      <c r="N91" s="9">
        <f t="shared" si="26"/>
        <v>7.8099999999976717</v>
      </c>
      <c r="O91" s="5"/>
      <c r="U91" s="5"/>
      <c r="V91" s="5"/>
    </row>
    <row r="92" spans="1:22" x14ac:dyDescent="0.25">
      <c r="A92" s="2">
        <f t="shared" si="28"/>
        <v>44957</v>
      </c>
      <c r="B92" s="25">
        <f t="shared" si="27"/>
        <v>8456.06</v>
      </c>
      <c r="C92" s="25"/>
      <c r="D92" s="55">
        <v>-122.7</v>
      </c>
      <c r="E92" s="25"/>
      <c r="F92" s="25"/>
      <c r="G92" s="25"/>
      <c r="H92" s="25"/>
      <c r="I92" s="25"/>
      <c r="J92" s="25"/>
      <c r="K92" s="3">
        <f t="shared" si="25"/>
        <v>8333.3599999999988</v>
      </c>
      <c r="M92" s="9">
        <f>+M91-122.7</f>
        <v>8325.5500000000011</v>
      </c>
      <c r="N92" s="9">
        <f t="shared" si="26"/>
        <v>7.8099999999976717</v>
      </c>
      <c r="O92" s="5"/>
      <c r="U92" s="5"/>
      <c r="V92" s="5"/>
    </row>
    <row r="93" spans="1:22" x14ac:dyDescent="0.25">
      <c r="A93" s="2">
        <f>+A92+28</f>
        <v>44985</v>
      </c>
      <c r="B93" s="25">
        <f t="shared" si="27"/>
        <v>8333.3599999999988</v>
      </c>
      <c r="C93" s="25"/>
      <c r="D93" s="53">
        <v>-675.63</v>
      </c>
      <c r="E93" s="25"/>
      <c r="F93" s="25"/>
      <c r="G93" s="25"/>
      <c r="H93" s="25"/>
      <c r="I93" s="25"/>
      <c r="J93" s="25"/>
      <c r="K93" s="3">
        <f t="shared" si="25"/>
        <v>7657.7299999999987</v>
      </c>
      <c r="M93" s="9">
        <f>+M92+-66.88</f>
        <v>8258.6700000000019</v>
      </c>
      <c r="N93" s="9">
        <f t="shared" si="26"/>
        <v>-600.94000000000324</v>
      </c>
      <c r="O93" s="5"/>
      <c r="U93" s="5"/>
      <c r="V93" s="5"/>
    </row>
    <row r="94" spans="1:22" x14ac:dyDescent="0.25">
      <c r="A94" s="2">
        <f t="shared" si="28"/>
        <v>45016</v>
      </c>
      <c r="B94" s="25">
        <f t="shared" si="27"/>
        <v>7657.7299999999987</v>
      </c>
      <c r="C94" s="25"/>
      <c r="D94" s="55">
        <v>-58.75</v>
      </c>
      <c r="E94" s="25"/>
      <c r="F94" s="25"/>
      <c r="G94" s="25"/>
      <c r="H94" s="25"/>
      <c r="I94" s="25"/>
      <c r="J94" s="25"/>
      <c r="K94" s="3">
        <f t="shared" si="25"/>
        <v>7598.9799999999987</v>
      </c>
      <c r="M94" s="3">
        <f>+M93-58.75</f>
        <v>8199.9200000000019</v>
      </c>
      <c r="N94" s="3">
        <f t="shared" si="26"/>
        <v>-600.94000000000324</v>
      </c>
      <c r="O94" s="5"/>
      <c r="U94" s="5"/>
      <c r="V94" s="5"/>
    </row>
    <row r="95" spans="1:22" x14ac:dyDescent="0.25">
      <c r="A95" s="2">
        <f>+A94+30</f>
        <v>45046</v>
      </c>
      <c r="B95" s="25">
        <f t="shared" si="27"/>
        <v>7598.9799999999987</v>
      </c>
      <c r="C95" s="25"/>
      <c r="D95" s="53">
        <v>-56.25</v>
      </c>
      <c r="E95" s="25"/>
      <c r="F95" s="25"/>
      <c r="G95" s="25"/>
      <c r="H95" s="25"/>
      <c r="I95" s="25"/>
      <c r="J95" s="25"/>
      <c r="K95" s="3">
        <f t="shared" si="25"/>
        <v>7542.7299999999987</v>
      </c>
      <c r="M95" s="3">
        <f>+M94</f>
        <v>8199.9200000000019</v>
      </c>
      <c r="N95" s="3">
        <f t="shared" si="26"/>
        <v>-657.19000000000324</v>
      </c>
      <c r="O95" s="5"/>
      <c r="U95" s="5"/>
      <c r="V95" s="5"/>
    </row>
    <row r="96" spans="1:22" x14ac:dyDescent="0.25">
      <c r="A96" s="2">
        <f t="shared" si="28"/>
        <v>45077</v>
      </c>
      <c r="B96" s="25">
        <f t="shared" si="27"/>
        <v>7542.7299999999987</v>
      </c>
      <c r="C96" s="25"/>
      <c r="D96" s="53">
        <v>-137.5</v>
      </c>
      <c r="E96" s="25"/>
      <c r="F96" s="25"/>
      <c r="G96" s="25"/>
      <c r="H96" s="25"/>
      <c r="I96" s="25"/>
      <c r="J96" s="25"/>
      <c r="K96" s="3">
        <f t="shared" si="25"/>
        <v>7405.2299999999987</v>
      </c>
      <c r="M96" s="3">
        <f>+M95</f>
        <v>8199.9200000000019</v>
      </c>
      <c r="N96" s="3">
        <f t="shared" si="26"/>
        <v>-794.69000000000324</v>
      </c>
      <c r="U96" s="5"/>
    </row>
    <row r="97" spans="1:20" x14ac:dyDescent="0.25">
      <c r="A97" s="2">
        <f>+A96+30</f>
        <v>45107</v>
      </c>
      <c r="B97" s="25">
        <f t="shared" si="27"/>
        <v>7405.2299999999987</v>
      </c>
      <c r="C97" s="25"/>
      <c r="D97" s="25"/>
      <c r="E97" s="25"/>
      <c r="F97" s="25"/>
      <c r="G97" s="25"/>
      <c r="H97" s="25"/>
      <c r="I97" s="25"/>
      <c r="J97" s="25"/>
      <c r="K97" s="3">
        <f t="shared" si="25"/>
        <v>7405.2299999999987</v>
      </c>
      <c r="M97" s="3">
        <v>7446.17</v>
      </c>
      <c r="N97" s="16">
        <f t="shared" si="26"/>
        <v>-40.940000000001419</v>
      </c>
    </row>
    <row r="98" spans="1:20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N98" s="3"/>
      <c r="T98" s="5"/>
    </row>
    <row r="99" spans="1:20" ht="15.75" thickBot="1" x14ac:dyDescent="0.3">
      <c r="A99" t="s">
        <v>16</v>
      </c>
      <c r="B99" s="3"/>
      <c r="C99" s="18">
        <f>SUM(C86:C97)</f>
        <v>0</v>
      </c>
      <c r="D99" s="18">
        <f>SUM(D86:D97)</f>
        <v>-9277.7099999999991</v>
      </c>
      <c r="E99" s="18">
        <f t="shared" ref="E99:J99" si="29">SUM(E86:E97)</f>
        <v>0</v>
      </c>
      <c r="F99" s="18">
        <f t="shared" si="29"/>
        <v>0</v>
      </c>
      <c r="G99" s="18">
        <f t="shared" si="29"/>
        <v>0</v>
      </c>
      <c r="H99" s="18">
        <f t="shared" si="29"/>
        <v>0</v>
      </c>
      <c r="I99" s="18">
        <f t="shared" si="29"/>
        <v>0</v>
      </c>
      <c r="J99" s="8">
        <f t="shared" si="29"/>
        <v>0</v>
      </c>
      <c r="K99" s="8">
        <f>+K97</f>
        <v>7405.2299999999987</v>
      </c>
      <c r="N99" s="3"/>
      <c r="T99" s="5"/>
    </row>
    <row r="100" spans="1:20" ht="15.75" thickTop="1" x14ac:dyDescent="0.25">
      <c r="B100" s="3"/>
      <c r="C100" s="11"/>
      <c r="D100" s="11"/>
      <c r="E100" s="11"/>
      <c r="F100" s="11"/>
      <c r="G100" s="11"/>
      <c r="H100" s="11"/>
      <c r="I100" s="11"/>
      <c r="J100" s="11"/>
      <c r="K100" s="11"/>
      <c r="N100" s="3"/>
    </row>
    <row r="101" spans="1:20" x14ac:dyDescent="0.25">
      <c r="A101" s="12" t="s">
        <v>23</v>
      </c>
      <c r="M101" s="32" t="s">
        <v>35</v>
      </c>
    </row>
    <row r="102" spans="1:20" ht="18.75" x14ac:dyDescent="0.25">
      <c r="A102" s="23">
        <v>2018</v>
      </c>
    </row>
    <row r="103" spans="1:20" x14ac:dyDescent="0.25">
      <c r="A103" s="33" t="s">
        <v>27</v>
      </c>
    </row>
    <row r="104" spans="1:20" x14ac:dyDescent="0.25">
      <c r="C104" s="10" t="s">
        <v>19</v>
      </c>
      <c r="D104" s="10" t="s">
        <v>20</v>
      </c>
      <c r="E104" s="10" t="s">
        <v>19</v>
      </c>
      <c r="F104" s="10" t="s">
        <v>19</v>
      </c>
      <c r="G104" s="10" t="s">
        <v>20</v>
      </c>
      <c r="H104" s="10" t="s">
        <v>20</v>
      </c>
      <c r="I104" s="10" t="s">
        <v>21</v>
      </c>
      <c r="J104" s="10" t="s">
        <v>20</v>
      </c>
      <c r="K104" s="7" t="s">
        <v>10</v>
      </c>
      <c r="L104" s="7"/>
      <c r="M104" s="7" t="s">
        <v>9</v>
      </c>
    </row>
    <row r="105" spans="1:20" x14ac:dyDescent="0.25">
      <c r="B105" s="4" t="s">
        <v>1</v>
      </c>
      <c r="C105" s="6" t="s">
        <v>2</v>
      </c>
      <c r="D105" s="6" t="s">
        <v>3</v>
      </c>
      <c r="E105" s="6" t="s">
        <v>12</v>
      </c>
      <c r="F105" s="6" t="s">
        <v>4</v>
      </c>
      <c r="G105" s="6" t="s">
        <v>5</v>
      </c>
      <c r="H105" s="6" t="s">
        <v>13</v>
      </c>
      <c r="I105" s="6" t="s">
        <v>6</v>
      </c>
      <c r="J105" s="6" t="s">
        <v>7</v>
      </c>
      <c r="K105" s="6" t="s">
        <v>8</v>
      </c>
      <c r="L105" s="7"/>
      <c r="M105" s="6" t="s">
        <v>8</v>
      </c>
      <c r="N105" s="6" t="s">
        <v>14</v>
      </c>
    </row>
    <row r="106" spans="1:20" x14ac:dyDescent="0.25">
      <c r="A106" s="2">
        <v>44773</v>
      </c>
      <c r="B106" s="9">
        <v>9445.81</v>
      </c>
      <c r="C106" s="9"/>
      <c r="D106" s="9"/>
      <c r="E106" s="9"/>
      <c r="F106" s="9"/>
      <c r="G106" s="9"/>
      <c r="H106" s="9"/>
      <c r="I106" s="9"/>
      <c r="J106" s="9"/>
      <c r="K106" s="3">
        <f t="shared" ref="K106:K117" si="30">SUM(B106:J106)</f>
        <v>9445.81</v>
      </c>
      <c r="M106" s="3">
        <v>9456.07</v>
      </c>
      <c r="N106" s="3">
        <f t="shared" ref="N106:N117" si="31">+K106-M106</f>
        <v>-10.260000000000218</v>
      </c>
      <c r="O106" t="s">
        <v>55</v>
      </c>
      <c r="P106" s="9"/>
    </row>
    <row r="107" spans="1:20" x14ac:dyDescent="0.25">
      <c r="A107" s="2">
        <f>+A106+31</f>
        <v>44804</v>
      </c>
      <c r="B107" s="9">
        <f>+K106</f>
        <v>9445.81</v>
      </c>
      <c r="C107" s="9"/>
      <c r="D107" s="9"/>
      <c r="E107" s="9"/>
      <c r="F107" s="9"/>
      <c r="G107" s="9"/>
      <c r="H107" s="9"/>
      <c r="I107" s="9"/>
      <c r="J107" s="9"/>
      <c r="K107" s="3">
        <f t="shared" si="30"/>
        <v>9445.81</v>
      </c>
      <c r="M107" s="3">
        <f>+M106</f>
        <v>9456.07</v>
      </c>
      <c r="N107" s="3">
        <f t="shared" si="31"/>
        <v>-10.260000000000218</v>
      </c>
    </row>
    <row r="108" spans="1:20" x14ac:dyDescent="0.25">
      <c r="A108" s="2">
        <f>+A107+30</f>
        <v>44834</v>
      </c>
      <c r="B108" s="9">
        <f t="shared" ref="B108:B117" si="32">+K107</f>
        <v>9445.81</v>
      </c>
      <c r="C108" s="9"/>
      <c r="D108" s="9">
        <v>-25</v>
      </c>
      <c r="E108" s="9"/>
      <c r="F108" s="9"/>
      <c r="G108" s="9"/>
      <c r="H108" s="9"/>
      <c r="I108" s="9"/>
      <c r="J108" s="9"/>
      <c r="K108" s="3">
        <f t="shared" si="30"/>
        <v>9420.81</v>
      </c>
      <c r="M108" s="3">
        <f>+M107-25</f>
        <v>9431.07</v>
      </c>
      <c r="N108" s="3">
        <f t="shared" si="31"/>
        <v>-10.260000000000218</v>
      </c>
    </row>
    <row r="109" spans="1:20" x14ac:dyDescent="0.25">
      <c r="A109" s="2">
        <f t="shared" ref="A109:A116" si="33">+A108+31</f>
        <v>44865</v>
      </c>
      <c r="B109" s="9">
        <f t="shared" si="32"/>
        <v>9420.81</v>
      </c>
      <c r="C109" s="9"/>
      <c r="D109" s="9">
        <v>-20</v>
      </c>
      <c r="E109" s="9"/>
      <c r="F109" s="9"/>
      <c r="G109" s="9"/>
      <c r="H109" s="9"/>
      <c r="I109" s="9"/>
      <c r="J109" s="9"/>
      <c r="K109" s="3">
        <f t="shared" si="30"/>
        <v>9400.81</v>
      </c>
      <c r="M109" s="3">
        <f>+M108-20</f>
        <v>9411.07</v>
      </c>
      <c r="N109" s="3">
        <f t="shared" si="31"/>
        <v>-10.260000000000218</v>
      </c>
    </row>
    <row r="110" spans="1:20" x14ac:dyDescent="0.25">
      <c r="A110" s="2">
        <f>+A109+30</f>
        <v>44895</v>
      </c>
      <c r="B110" s="9">
        <f t="shared" si="32"/>
        <v>9400.81</v>
      </c>
      <c r="C110" s="9"/>
      <c r="D110" s="9"/>
      <c r="E110" s="9"/>
      <c r="F110" s="9"/>
      <c r="G110" s="9"/>
      <c r="H110" s="9"/>
      <c r="I110" s="9"/>
      <c r="J110" s="9"/>
      <c r="K110" s="3">
        <f t="shared" si="30"/>
        <v>9400.81</v>
      </c>
      <c r="M110" s="3">
        <f>+M109</f>
        <v>9411.07</v>
      </c>
      <c r="N110" s="9">
        <f t="shared" si="31"/>
        <v>-10.260000000000218</v>
      </c>
    </row>
    <row r="111" spans="1:20" x14ac:dyDescent="0.25">
      <c r="A111" s="2">
        <f t="shared" si="33"/>
        <v>44926</v>
      </c>
      <c r="B111" s="9">
        <f t="shared" si="32"/>
        <v>9400.81</v>
      </c>
      <c r="C111" s="9"/>
      <c r="D111" s="9"/>
      <c r="E111" s="9"/>
      <c r="F111" s="9"/>
      <c r="G111" s="9"/>
      <c r="H111" s="9"/>
      <c r="I111" s="9"/>
      <c r="J111" s="9"/>
      <c r="K111" s="3">
        <f t="shared" si="30"/>
        <v>9400.81</v>
      </c>
      <c r="M111" s="3">
        <f t="shared" ref="M111:M117" si="34">+M110</f>
        <v>9411.07</v>
      </c>
      <c r="N111" s="3">
        <f t="shared" si="31"/>
        <v>-10.260000000000218</v>
      </c>
      <c r="Q111" s="9"/>
    </row>
    <row r="112" spans="1:20" x14ac:dyDescent="0.25">
      <c r="A112" s="2">
        <f t="shared" si="33"/>
        <v>44957</v>
      </c>
      <c r="B112" s="9">
        <f t="shared" si="32"/>
        <v>9400.81</v>
      </c>
      <c r="C112" s="9"/>
      <c r="D112" s="9"/>
      <c r="E112" s="9"/>
      <c r="F112" s="9"/>
      <c r="G112" s="9"/>
      <c r="H112" s="9"/>
      <c r="I112" s="9">
        <v>-9420.81</v>
      </c>
      <c r="J112" s="9"/>
      <c r="K112" s="3">
        <f t="shared" si="30"/>
        <v>-20</v>
      </c>
      <c r="M112" s="3">
        <f t="shared" si="34"/>
        <v>9411.07</v>
      </c>
      <c r="N112" s="3">
        <f t="shared" si="31"/>
        <v>-9431.07</v>
      </c>
      <c r="O112" t="s">
        <v>142</v>
      </c>
      <c r="Q112" s="9"/>
    </row>
    <row r="113" spans="1:17" x14ac:dyDescent="0.25">
      <c r="A113" s="2">
        <f>+A112+28</f>
        <v>44985</v>
      </c>
      <c r="B113" s="9">
        <f t="shared" si="32"/>
        <v>-20</v>
      </c>
      <c r="C113" s="9"/>
      <c r="D113" s="9"/>
      <c r="E113" s="9"/>
      <c r="F113" s="9"/>
      <c r="G113" s="9"/>
      <c r="H113" s="9"/>
      <c r="I113" s="9"/>
      <c r="J113" s="9"/>
      <c r="K113" s="3">
        <f t="shared" si="30"/>
        <v>-20</v>
      </c>
      <c r="M113" s="3">
        <f t="shared" si="34"/>
        <v>9411.07</v>
      </c>
      <c r="N113" s="3">
        <f t="shared" si="31"/>
        <v>-9431.07</v>
      </c>
      <c r="Q113" s="9"/>
    </row>
    <row r="114" spans="1:17" x14ac:dyDescent="0.25">
      <c r="A114" s="2">
        <f t="shared" si="33"/>
        <v>45016</v>
      </c>
      <c r="B114" s="9">
        <f t="shared" si="32"/>
        <v>-20</v>
      </c>
      <c r="C114" s="9"/>
      <c r="D114" s="9"/>
      <c r="E114" s="9"/>
      <c r="F114" s="9"/>
      <c r="G114" s="9"/>
      <c r="H114" s="9"/>
      <c r="I114" s="9">
        <v>20</v>
      </c>
      <c r="J114" s="9"/>
      <c r="K114" s="3">
        <f t="shared" si="30"/>
        <v>0</v>
      </c>
      <c r="M114" s="3">
        <f t="shared" si="34"/>
        <v>9411.07</v>
      </c>
      <c r="N114" s="3">
        <f t="shared" si="31"/>
        <v>-9411.07</v>
      </c>
      <c r="O114" t="s">
        <v>142</v>
      </c>
    </row>
    <row r="115" spans="1:17" x14ac:dyDescent="0.25">
      <c r="A115" s="2">
        <f>+A114+30</f>
        <v>45046</v>
      </c>
      <c r="B115" s="9">
        <f t="shared" si="32"/>
        <v>0</v>
      </c>
      <c r="C115" s="9"/>
      <c r="D115" s="9"/>
      <c r="E115" s="9"/>
      <c r="F115" s="9"/>
      <c r="G115" s="9"/>
      <c r="H115" s="9"/>
      <c r="I115" s="9"/>
      <c r="J115" s="9"/>
      <c r="K115" s="3">
        <f t="shared" si="30"/>
        <v>0</v>
      </c>
      <c r="M115" s="3">
        <f t="shared" si="34"/>
        <v>9411.07</v>
      </c>
      <c r="N115" s="3">
        <f t="shared" si="31"/>
        <v>-9411.07</v>
      </c>
    </row>
    <row r="116" spans="1:17" x14ac:dyDescent="0.25">
      <c r="A116" s="2">
        <f t="shared" si="33"/>
        <v>45077</v>
      </c>
      <c r="B116" s="9">
        <f t="shared" si="32"/>
        <v>0</v>
      </c>
      <c r="C116" s="9"/>
      <c r="D116" s="9"/>
      <c r="E116" s="9"/>
      <c r="F116" s="9"/>
      <c r="G116" s="9"/>
      <c r="H116" s="9"/>
      <c r="I116" s="9"/>
      <c r="J116" s="9"/>
      <c r="K116" s="3">
        <f t="shared" si="30"/>
        <v>0</v>
      </c>
      <c r="M116" s="3">
        <f t="shared" si="34"/>
        <v>9411.07</v>
      </c>
      <c r="N116" s="3">
        <f t="shared" si="31"/>
        <v>-9411.07</v>
      </c>
    </row>
    <row r="117" spans="1:17" x14ac:dyDescent="0.25">
      <c r="A117" s="2">
        <f>+A116+30</f>
        <v>45107</v>
      </c>
      <c r="B117" s="9">
        <f t="shared" si="32"/>
        <v>0</v>
      </c>
      <c r="C117" s="9"/>
      <c r="D117" s="9"/>
      <c r="E117" s="9"/>
      <c r="F117" s="9"/>
      <c r="G117" s="9"/>
      <c r="H117" s="9"/>
      <c r="I117" s="9"/>
      <c r="J117" s="9"/>
      <c r="K117" s="3">
        <f t="shared" si="30"/>
        <v>0</v>
      </c>
      <c r="M117" s="3">
        <f t="shared" si="34"/>
        <v>9411.07</v>
      </c>
      <c r="N117" s="16">
        <f t="shared" si="31"/>
        <v>-9411.07</v>
      </c>
    </row>
    <row r="118" spans="1:17" x14ac:dyDescent="0.25">
      <c r="A118" s="2"/>
      <c r="B118" s="3"/>
      <c r="C118" s="9"/>
      <c r="D118" s="9"/>
      <c r="E118" s="9"/>
      <c r="F118" s="9"/>
      <c r="G118" s="9"/>
      <c r="H118" s="9"/>
      <c r="I118" s="9"/>
      <c r="J118" s="3"/>
      <c r="K118" s="3"/>
      <c r="M118" s="3"/>
      <c r="N118" s="3"/>
    </row>
    <row r="119" spans="1:17" ht="15.75" thickBot="1" x14ac:dyDescent="0.3">
      <c r="A119" t="s">
        <v>16</v>
      </c>
      <c r="B119" s="3"/>
      <c r="C119" s="18">
        <f t="shared" ref="C119:J119" si="35">SUM(C106:C117)</f>
        <v>0</v>
      </c>
      <c r="D119" s="18">
        <f t="shared" si="35"/>
        <v>-45</v>
      </c>
      <c r="E119" s="18">
        <f t="shared" si="35"/>
        <v>0</v>
      </c>
      <c r="F119" s="18">
        <f t="shared" si="35"/>
        <v>0</v>
      </c>
      <c r="G119" s="18">
        <f t="shared" si="35"/>
        <v>0</v>
      </c>
      <c r="H119" s="18">
        <f t="shared" si="35"/>
        <v>0</v>
      </c>
      <c r="I119" s="18">
        <f t="shared" si="35"/>
        <v>-9400.81</v>
      </c>
      <c r="J119" s="18">
        <f t="shared" si="35"/>
        <v>0</v>
      </c>
      <c r="K119" s="8">
        <f>+K117</f>
        <v>0</v>
      </c>
    </row>
    <row r="120" spans="1:17" ht="15.75" thickTop="1" x14ac:dyDescent="0.25"/>
    <row r="121" spans="1:17" x14ac:dyDescent="0.25">
      <c r="A121" s="12" t="s">
        <v>23</v>
      </c>
    </row>
    <row r="122" spans="1:17" ht="18.75" x14ac:dyDescent="0.25">
      <c r="A122" s="23">
        <v>2017</v>
      </c>
    </row>
    <row r="123" spans="1:17" x14ac:dyDescent="0.25">
      <c r="A123" s="33" t="s">
        <v>28</v>
      </c>
      <c r="M123" s="32" t="s">
        <v>36</v>
      </c>
    </row>
    <row r="124" spans="1:17" x14ac:dyDescent="0.25">
      <c r="C124" s="10" t="s">
        <v>19</v>
      </c>
      <c r="D124" s="10" t="s">
        <v>20</v>
      </c>
      <c r="E124" s="10" t="s">
        <v>19</v>
      </c>
      <c r="F124" s="10" t="s">
        <v>19</v>
      </c>
      <c r="G124" s="10" t="s">
        <v>20</v>
      </c>
      <c r="H124" s="10" t="s">
        <v>20</v>
      </c>
      <c r="I124" s="10" t="s">
        <v>21</v>
      </c>
      <c r="J124" s="10" t="s">
        <v>20</v>
      </c>
      <c r="K124" s="7" t="s">
        <v>10</v>
      </c>
      <c r="L124" s="7"/>
      <c r="M124" s="7" t="s">
        <v>9</v>
      </c>
    </row>
    <row r="125" spans="1:17" x14ac:dyDescent="0.25">
      <c r="B125" s="4" t="s">
        <v>1</v>
      </c>
      <c r="C125" s="6" t="s">
        <v>2</v>
      </c>
      <c r="D125" s="6" t="s">
        <v>3</v>
      </c>
      <c r="E125" s="6" t="s">
        <v>12</v>
      </c>
      <c r="F125" s="6" t="s">
        <v>4</v>
      </c>
      <c r="G125" s="6" t="s">
        <v>5</v>
      </c>
      <c r="H125" s="6" t="s">
        <v>13</v>
      </c>
      <c r="I125" s="6" t="s">
        <v>6</v>
      </c>
      <c r="J125" s="6" t="s">
        <v>7</v>
      </c>
      <c r="K125" s="6" t="s">
        <v>8</v>
      </c>
      <c r="L125" s="7"/>
      <c r="M125" s="6" t="s">
        <v>8</v>
      </c>
      <c r="N125" s="6" t="s">
        <v>14</v>
      </c>
    </row>
    <row r="126" spans="1:17" x14ac:dyDescent="0.25">
      <c r="A126" s="2">
        <v>44773</v>
      </c>
      <c r="B126" s="9">
        <v>1689.9</v>
      </c>
      <c r="C126" s="9"/>
      <c r="D126" s="9"/>
      <c r="E126" s="9"/>
      <c r="F126" s="9"/>
      <c r="G126" s="9"/>
      <c r="H126" s="9"/>
      <c r="I126" s="9"/>
      <c r="J126" s="9"/>
      <c r="K126" s="9">
        <f t="shared" ref="K126:K137" si="36">SUM(B126:J126)</f>
        <v>1689.9</v>
      </c>
      <c r="M126" s="3">
        <v>1689.9</v>
      </c>
      <c r="N126" s="3">
        <f t="shared" ref="N126:N137" si="37">+K126-M126</f>
        <v>0</v>
      </c>
    </row>
    <row r="127" spans="1:17" x14ac:dyDescent="0.25">
      <c r="A127" s="2">
        <f>+A126+31</f>
        <v>44804</v>
      </c>
      <c r="B127" s="9">
        <f>+K126</f>
        <v>1689.9</v>
      </c>
      <c r="C127" s="9"/>
      <c r="D127" s="9"/>
      <c r="E127" s="9"/>
      <c r="F127" s="9"/>
      <c r="G127" s="9"/>
      <c r="H127" s="9"/>
      <c r="I127" s="9"/>
      <c r="J127" s="9"/>
      <c r="K127" s="9">
        <f t="shared" si="36"/>
        <v>1689.9</v>
      </c>
      <c r="M127" s="3">
        <v>1689.9</v>
      </c>
      <c r="N127" s="3">
        <f t="shared" si="37"/>
        <v>0</v>
      </c>
    </row>
    <row r="128" spans="1:17" x14ac:dyDescent="0.25">
      <c r="A128" s="2">
        <f>+A127+30</f>
        <v>44834</v>
      </c>
      <c r="B128" s="9">
        <f t="shared" ref="B128:B137" si="38">+K127</f>
        <v>1689.9</v>
      </c>
      <c r="C128" s="9"/>
      <c r="D128" s="9"/>
      <c r="E128" s="9"/>
      <c r="F128" s="9"/>
      <c r="G128" s="9"/>
      <c r="H128" s="9"/>
      <c r="I128" s="9"/>
      <c r="J128" s="9"/>
      <c r="K128" s="9">
        <f t="shared" si="36"/>
        <v>1689.9</v>
      </c>
      <c r="M128" s="3">
        <v>1689.9</v>
      </c>
      <c r="N128" s="3">
        <f t="shared" si="37"/>
        <v>0</v>
      </c>
    </row>
    <row r="129" spans="1:15" x14ac:dyDescent="0.25">
      <c r="A129" s="2">
        <f t="shared" ref="A129:A136" si="39">+A128+31</f>
        <v>44865</v>
      </c>
      <c r="B129" s="9">
        <f t="shared" si="38"/>
        <v>1689.9</v>
      </c>
      <c r="C129" s="9"/>
      <c r="D129" s="9"/>
      <c r="E129" s="9"/>
      <c r="F129" s="9"/>
      <c r="G129" s="9"/>
      <c r="H129" s="9"/>
      <c r="I129" s="9"/>
      <c r="J129" s="9"/>
      <c r="K129" s="9">
        <f t="shared" si="36"/>
        <v>1689.9</v>
      </c>
      <c r="M129" s="3">
        <v>1689.9</v>
      </c>
      <c r="N129" s="3">
        <f t="shared" si="37"/>
        <v>0</v>
      </c>
    </row>
    <row r="130" spans="1:15" x14ac:dyDescent="0.25">
      <c r="A130" s="2">
        <f>+A129+30</f>
        <v>44895</v>
      </c>
      <c r="B130" s="9">
        <f t="shared" si="38"/>
        <v>1689.9</v>
      </c>
      <c r="C130" s="9"/>
      <c r="D130" s="9"/>
      <c r="E130" s="9"/>
      <c r="F130" s="9"/>
      <c r="G130" s="9"/>
      <c r="H130" s="9"/>
      <c r="I130" s="9"/>
      <c r="J130" s="9"/>
      <c r="K130" s="9">
        <f t="shared" si="36"/>
        <v>1689.9</v>
      </c>
      <c r="M130" s="3">
        <v>1689.9</v>
      </c>
      <c r="N130" s="3">
        <f t="shared" si="37"/>
        <v>0</v>
      </c>
    </row>
    <row r="131" spans="1:15" x14ac:dyDescent="0.25">
      <c r="A131" s="2">
        <f t="shared" si="39"/>
        <v>44926</v>
      </c>
      <c r="B131" s="9">
        <f t="shared" si="38"/>
        <v>1689.9</v>
      </c>
      <c r="C131" s="9"/>
      <c r="D131" s="9"/>
      <c r="E131" s="9"/>
      <c r="F131" s="9"/>
      <c r="G131" s="9"/>
      <c r="H131" s="9"/>
      <c r="I131" s="9">
        <v>-1689.9</v>
      </c>
      <c r="J131" s="9"/>
      <c r="K131" s="9">
        <f t="shared" si="36"/>
        <v>0</v>
      </c>
      <c r="M131" s="3">
        <v>1689.9</v>
      </c>
      <c r="N131" s="3">
        <f t="shared" si="37"/>
        <v>-1689.9</v>
      </c>
      <c r="O131" t="s">
        <v>142</v>
      </c>
    </row>
    <row r="132" spans="1:15" x14ac:dyDescent="0.25">
      <c r="A132" s="2">
        <f t="shared" si="39"/>
        <v>44957</v>
      </c>
      <c r="B132" s="9">
        <f t="shared" si="38"/>
        <v>0</v>
      </c>
      <c r="C132" s="9"/>
      <c r="D132" s="9"/>
      <c r="E132" s="9"/>
      <c r="F132" s="9"/>
      <c r="G132" s="9"/>
      <c r="H132" s="9"/>
      <c r="I132" s="9"/>
      <c r="J132" s="9"/>
      <c r="K132" s="9">
        <f t="shared" si="36"/>
        <v>0</v>
      </c>
      <c r="M132" s="3">
        <v>1689.9</v>
      </c>
      <c r="N132" s="3">
        <f t="shared" si="37"/>
        <v>-1689.9</v>
      </c>
    </row>
    <row r="133" spans="1:15" x14ac:dyDescent="0.25">
      <c r="A133" s="2">
        <f>+A132+28</f>
        <v>44985</v>
      </c>
      <c r="B133" s="9">
        <f t="shared" si="38"/>
        <v>0</v>
      </c>
      <c r="C133" s="9"/>
      <c r="D133" s="9"/>
      <c r="E133" s="9"/>
      <c r="F133" s="9"/>
      <c r="G133" s="9"/>
      <c r="H133" s="9"/>
      <c r="I133" s="9"/>
      <c r="J133" s="9"/>
      <c r="K133" s="9">
        <f t="shared" si="36"/>
        <v>0</v>
      </c>
      <c r="M133" s="3">
        <v>1689.9</v>
      </c>
      <c r="N133" s="3">
        <f t="shared" si="37"/>
        <v>-1689.9</v>
      </c>
    </row>
    <row r="134" spans="1:15" x14ac:dyDescent="0.25">
      <c r="A134" s="2">
        <f t="shared" si="39"/>
        <v>45016</v>
      </c>
      <c r="B134" s="9">
        <f t="shared" si="38"/>
        <v>0</v>
      </c>
      <c r="C134" s="9"/>
      <c r="D134" s="9"/>
      <c r="E134" s="9"/>
      <c r="F134" s="9"/>
      <c r="G134" s="25"/>
      <c r="H134" s="9"/>
      <c r="I134" s="9"/>
      <c r="J134" s="9"/>
      <c r="K134" s="9">
        <f t="shared" si="36"/>
        <v>0</v>
      </c>
      <c r="M134" s="3">
        <v>1689.9</v>
      </c>
      <c r="N134" s="3">
        <f t="shared" si="37"/>
        <v>-1689.9</v>
      </c>
    </row>
    <row r="135" spans="1:15" x14ac:dyDescent="0.25">
      <c r="A135" s="2">
        <f>+A134+30</f>
        <v>45046</v>
      </c>
      <c r="B135" s="9">
        <f t="shared" si="38"/>
        <v>0</v>
      </c>
      <c r="C135" s="9"/>
      <c r="D135" s="9"/>
      <c r="E135" s="9"/>
      <c r="F135" s="9"/>
      <c r="G135" s="25"/>
      <c r="H135" s="9"/>
      <c r="I135" s="9"/>
      <c r="J135" s="9"/>
      <c r="K135" s="9">
        <f t="shared" si="36"/>
        <v>0</v>
      </c>
      <c r="M135" s="3">
        <v>1689.9</v>
      </c>
      <c r="N135" s="3">
        <f t="shared" si="37"/>
        <v>-1689.9</v>
      </c>
    </row>
    <row r="136" spans="1:15" x14ac:dyDescent="0.25">
      <c r="A136" s="2">
        <f t="shared" si="39"/>
        <v>45077</v>
      </c>
      <c r="B136" s="9">
        <f t="shared" si="38"/>
        <v>0</v>
      </c>
      <c r="C136" s="9"/>
      <c r="D136" s="9"/>
      <c r="E136" s="9"/>
      <c r="F136" s="9"/>
      <c r="G136" s="25"/>
      <c r="H136" s="9"/>
      <c r="I136" s="9"/>
      <c r="J136" s="9"/>
      <c r="K136" s="9">
        <f t="shared" si="36"/>
        <v>0</v>
      </c>
      <c r="M136" s="3">
        <v>1689.9</v>
      </c>
      <c r="N136" s="3">
        <f t="shared" si="37"/>
        <v>-1689.9</v>
      </c>
    </row>
    <row r="137" spans="1:15" x14ac:dyDescent="0.25">
      <c r="A137" s="2">
        <f>+A136+30</f>
        <v>45107</v>
      </c>
      <c r="B137" s="9">
        <f t="shared" si="38"/>
        <v>0</v>
      </c>
      <c r="C137" s="9"/>
      <c r="D137" s="9"/>
      <c r="E137" s="9"/>
      <c r="F137" s="9"/>
      <c r="G137" s="25"/>
      <c r="H137" s="9"/>
      <c r="I137" s="9"/>
      <c r="J137" s="9"/>
      <c r="K137" s="9">
        <f t="shared" si="36"/>
        <v>0</v>
      </c>
      <c r="M137" s="3">
        <v>1689.9</v>
      </c>
      <c r="N137" s="15">
        <f t="shared" si="37"/>
        <v>-1689.9</v>
      </c>
    </row>
    <row r="138" spans="1:15" x14ac:dyDescent="0.25">
      <c r="B138" s="3"/>
      <c r="C138" s="3"/>
      <c r="D138" s="3"/>
      <c r="E138" s="3"/>
      <c r="F138" s="3"/>
      <c r="G138" s="28"/>
      <c r="H138" s="3"/>
      <c r="I138" s="3"/>
      <c r="J138" s="3"/>
      <c r="K138" s="3"/>
    </row>
    <row r="139" spans="1:15" ht="15.75" thickBot="1" x14ac:dyDescent="0.3">
      <c r="A139" t="s">
        <v>16</v>
      </c>
      <c r="B139" s="3"/>
      <c r="C139" s="8">
        <f t="shared" ref="C139:J139" si="40">SUM(C126:C137)</f>
        <v>0</v>
      </c>
      <c r="D139" s="8">
        <f t="shared" si="40"/>
        <v>0</v>
      </c>
      <c r="E139" s="8">
        <f t="shared" si="40"/>
        <v>0</v>
      </c>
      <c r="F139" s="8">
        <f t="shared" si="40"/>
        <v>0</v>
      </c>
      <c r="G139" s="34">
        <f t="shared" si="40"/>
        <v>0</v>
      </c>
      <c r="H139" s="8">
        <f t="shared" si="40"/>
        <v>0</v>
      </c>
      <c r="I139" s="8">
        <f t="shared" si="40"/>
        <v>-1689.9</v>
      </c>
      <c r="J139" s="8">
        <f t="shared" si="40"/>
        <v>0</v>
      </c>
      <c r="K139" s="8">
        <f>SUM(B139:J139)</f>
        <v>-1689.9</v>
      </c>
    </row>
    <row r="140" spans="1:15" ht="15.75" thickTop="1" x14ac:dyDescent="0.25">
      <c r="G140" s="35"/>
    </row>
    <row r="141" spans="1:15" ht="18.75" x14ac:dyDescent="0.25">
      <c r="A141" s="23" t="s">
        <v>65</v>
      </c>
      <c r="G141" s="35"/>
    </row>
    <row r="142" spans="1:15" x14ac:dyDescent="0.25">
      <c r="A142" s="33" t="s">
        <v>66</v>
      </c>
      <c r="G142" s="35"/>
      <c r="M142" s="32" t="s">
        <v>88</v>
      </c>
    </row>
    <row r="143" spans="1:15" x14ac:dyDescent="0.25">
      <c r="C143" s="10" t="s">
        <v>19</v>
      </c>
      <c r="D143" s="10" t="s">
        <v>20</v>
      </c>
      <c r="E143" s="10" t="s">
        <v>19</v>
      </c>
      <c r="F143" s="10" t="s">
        <v>19</v>
      </c>
      <c r="G143" s="36" t="s">
        <v>20</v>
      </c>
      <c r="H143" s="10" t="s">
        <v>20</v>
      </c>
      <c r="I143" s="10" t="s">
        <v>21</v>
      </c>
      <c r="J143" s="10" t="s">
        <v>20</v>
      </c>
      <c r="K143" s="7" t="s">
        <v>10</v>
      </c>
      <c r="L143" s="7"/>
      <c r="M143" s="7" t="s">
        <v>9</v>
      </c>
    </row>
    <row r="144" spans="1:15" x14ac:dyDescent="0.25">
      <c r="B144" s="4" t="s">
        <v>1</v>
      </c>
      <c r="C144" s="6" t="s">
        <v>2</v>
      </c>
      <c r="D144" s="6" t="s">
        <v>3</v>
      </c>
      <c r="E144" s="6" t="s">
        <v>12</v>
      </c>
      <c r="F144" s="6" t="s">
        <v>4</v>
      </c>
      <c r="G144" s="37" t="s">
        <v>5</v>
      </c>
      <c r="H144" s="6" t="s">
        <v>13</v>
      </c>
      <c r="I144" s="6" t="s">
        <v>6</v>
      </c>
      <c r="J144" s="6" t="s">
        <v>7</v>
      </c>
      <c r="K144" s="6" t="s">
        <v>8</v>
      </c>
      <c r="L144" s="7"/>
      <c r="M144" s="6" t="s">
        <v>8</v>
      </c>
      <c r="N144" s="6" t="s">
        <v>14</v>
      </c>
    </row>
    <row r="145" spans="1:17" x14ac:dyDescent="0.25">
      <c r="A145" s="48" t="s">
        <v>67</v>
      </c>
      <c r="B145" s="9">
        <v>2332.71</v>
      </c>
      <c r="C145" s="9"/>
      <c r="D145" s="9"/>
      <c r="E145" s="9"/>
      <c r="F145" s="9"/>
      <c r="G145" s="25"/>
      <c r="H145" s="9"/>
      <c r="I145" s="9">
        <v>-2332.71</v>
      </c>
      <c r="J145" s="9"/>
      <c r="K145" s="9">
        <f t="shared" ref="K145:K166" si="41">SUM(B145:J145)</f>
        <v>0</v>
      </c>
      <c r="M145" s="3">
        <v>2332.71</v>
      </c>
      <c r="N145" s="3">
        <f t="shared" ref="N145:N165" si="42">+K145-M145</f>
        <v>-2332.71</v>
      </c>
      <c r="P145" s="9">
        <f>+M145+I145</f>
        <v>0</v>
      </c>
      <c r="Q145" s="9"/>
    </row>
    <row r="146" spans="1:17" x14ac:dyDescent="0.25">
      <c r="A146" s="48" t="s">
        <v>68</v>
      </c>
      <c r="B146" s="9">
        <v>1410</v>
      </c>
      <c r="C146" s="9"/>
      <c r="D146" s="9"/>
      <c r="E146" s="9"/>
      <c r="F146" s="9"/>
      <c r="G146" s="25"/>
      <c r="H146" s="9"/>
      <c r="I146" s="9">
        <v>-1410</v>
      </c>
      <c r="J146" s="9"/>
      <c r="K146" s="9">
        <f t="shared" si="41"/>
        <v>0</v>
      </c>
      <c r="M146" s="3">
        <v>1502.83</v>
      </c>
      <c r="N146" s="3">
        <f t="shared" si="42"/>
        <v>-1502.83</v>
      </c>
      <c r="O146" s="5"/>
      <c r="P146" s="9">
        <f t="shared" ref="P146:P167" si="43">+M146+I146</f>
        <v>92.829999999999927</v>
      </c>
      <c r="Q146" s="9"/>
    </row>
    <row r="147" spans="1:17" x14ac:dyDescent="0.25">
      <c r="A147" s="48" t="s">
        <v>69</v>
      </c>
      <c r="B147" s="9">
        <v>1709.27</v>
      </c>
      <c r="C147" s="9"/>
      <c r="D147" s="9"/>
      <c r="E147" s="9"/>
      <c r="F147" s="9"/>
      <c r="G147" s="25"/>
      <c r="H147" s="9"/>
      <c r="I147" s="9">
        <v>-1709.27</v>
      </c>
      <c r="J147" s="9"/>
      <c r="K147" s="9">
        <f t="shared" si="41"/>
        <v>0</v>
      </c>
      <c r="M147" s="3">
        <v>1709.27</v>
      </c>
      <c r="N147" s="3">
        <f t="shared" si="42"/>
        <v>-1709.27</v>
      </c>
      <c r="P147" s="9">
        <f t="shared" si="43"/>
        <v>0</v>
      </c>
      <c r="Q147" s="9"/>
    </row>
    <row r="148" spans="1:17" x14ac:dyDescent="0.25">
      <c r="A148" s="48" t="s">
        <v>70</v>
      </c>
      <c r="B148" s="9">
        <v>3156.36</v>
      </c>
      <c r="C148" s="9"/>
      <c r="D148" s="9"/>
      <c r="E148" s="9"/>
      <c r="F148" s="9"/>
      <c r="G148" s="25"/>
      <c r="H148" s="9"/>
      <c r="I148" s="9">
        <f>-B148</f>
        <v>-3156.36</v>
      </c>
      <c r="J148" s="9"/>
      <c r="K148" s="9">
        <f t="shared" si="41"/>
        <v>0</v>
      </c>
      <c r="M148" s="3">
        <v>3107.61</v>
      </c>
      <c r="N148" s="3">
        <f t="shared" si="42"/>
        <v>-3107.61</v>
      </c>
      <c r="P148" s="9">
        <f t="shared" si="43"/>
        <v>-48.75</v>
      </c>
    </row>
    <row r="149" spans="1:17" x14ac:dyDescent="0.25">
      <c r="A149" s="48" t="s">
        <v>71</v>
      </c>
      <c r="B149" s="9">
        <v>1105.6300000000001</v>
      </c>
      <c r="C149" s="9"/>
      <c r="D149" s="9"/>
      <c r="E149" s="9"/>
      <c r="F149" s="9"/>
      <c r="G149" s="25"/>
      <c r="H149" s="9"/>
      <c r="I149" s="9">
        <f t="shared" ref="I149:I166" si="44">-B149</f>
        <v>-1105.6300000000001</v>
      </c>
      <c r="J149" s="9"/>
      <c r="K149" s="9">
        <f t="shared" si="41"/>
        <v>0</v>
      </c>
      <c r="M149" s="3">
        <v>1158.1300000000001</v>
      </c>
      <c r="N149" s="3">
        <f t="shared" si="42"/>
        <v>-1158.1300000000001</v>
      </c>
      <c r="P149" s="9">
        <f t="shared" si="43"/>
        <v>52.5</v>
      </c>
    </row>
    <row r="150" spans="1:17" x14ac:dyDescent="0.25">
      <c r="A150" s="48" t="s">
        <v>72</v>
      </c>
      <c r="B150" s="9">
        <v>783.75</v>
      </c>
      <c r="C150" s="9"/>
      <c r="D150" s="9"/>
      <c r="E150" s="9"/>
      <c r="F150" s="9"/>
      <c r="G150" s="25"/>
      <c r="H150" s="9"/>
      <c r="I150" s="9">
        <f t="shared" si="44"/>
        <v>-783.75</v>
      </c>
      <c r="J150" s="9"/>
      <c r="K150" s="9">
        <f t="shared" si="41"/>
        <v>0</v>
      </c>
      <c r="M150" s="3">
        <v>783.75</v>
      </c>
      <c r="N150" s="3">
        <f t="shared" si="42"/>
        <v>-783.75</v>
      </c>
      <c r="P150" s="9">
        <f t="shared" si="43"/>
        <v>0</v>
      </c>
    </row>
    <row r="151" spans="1:17" x14ac:dyDescent="0.25">
      <c r="A151" s="48" t="s">
        <v>73</v>
      </c>
      <c r="B151" s="9">
        <v>491.25</v>
      </c>
      <c r="C151" s="9"/>
      <c r="D151" s="9"/>
      <c r="E151" s="9"/>
      <c r="F151" s="9"/>
      <c r="G151" s="25"/>
      <c r="H151" s="9"/>
      <c r="I151" s="9">
        <f t="shared" si="44"/>
        <v>-491.25</v>
      </c>
      <c r="J151" s="9"/>
      <c r="K151" s="9">
        <f t="shared" si="41"/>
        <v>0</v>
      </c>
      <c r="M151" s="3">
        <v>497.5</v>
      </c>
      <c r="N151" s="3">
        <f t="shared" si="42"/>
        <v>-497.5</v>
      </c>
      <c r="P151" s="9">
        <f t="shared" si="43"/>
        <v>6.25</v>
      </c>
    </row>
    <row r="152" spans="1:17" x14ac:dyDescent="0.25">
      <c r="A152" s="48" t="s">
        <v>74</v>
      </c>
      <c r="B152" s="9">
        <v>1207.5</v>
      </c>
      <c r="C152" s="9"/>
      <c r="D152" s="9"/>
      <c r="E152" s="9"/>
      <c r="F152" s="9"/>
      <c r="G152" s="25"/>
      <c r="H152" s="9"/>
      <c r="I152" s="9">
        <f t="shared" si="44"/>
        <v>-1207.5</v>
      </c>
      <c r="J152" s="9"/>
      <c r="K152" s="9">
        <f t="shared" si="41"/>
        <v>0</v>
      </c>
      <c r="M152" s="3">
        <v>1207.5</v>
      </c>
      <c r="N152" s="3">
        <f t="shared" si="42"/>
        <v>-1207.5</v>
      </c>
      <c r="P152" s="9">
        <f t="shared" si="43"/>
        <v>0</v>
      </c>
    </row>
    <row r="153" spans="1:17" x14ac:dyDescent="0.25">
      <c r="A153" s="48" t="s">
        <v>75</v>
      </c>
      <c r="B153" s="9">
        <v>970.21</v>
      </c>
      <c r="C153" s="9"/>
      <c r="D153" s="9"/>
      <c r="E153" s="9"/>
      <c r="F153" s="9"/>
      <c r="G153" s="25"/>
      <c r="H153" s="9"/>
      <c r="I153" s="9">
        <f t="shared" si="44"/>
        <v>-970.21</v>
      </c>
      <c r="J153" s="9"/>
      <c r="K153" s="9">
        <f t="shared" si="41"/>
        <v>0</v>
      </c>
      <c r="M153" s="3">
        <v>970.21</v>
      </c>
      <c r="N153" s="3">
        <f t="shared" si="42"/>
        <v>-970.21</v>
      </c>
      <c r="O153" s="5"/>
      <c r="P153" s="9">
        <f t="shared" si="43"/>
        <v>0</v>
      </c>
    </row>
    <row r="154" spans="1:17" x14ac:dyDescent="0.25">
      <c r="A154" s="48" t="s">
        <v>76</v>
      </c>
      <c r="B154" s="9">
        <v>1796.35</v>
      </c>
      <c r="C154" s="9"/>
      <c r="D154" s="9"/>
      <c r="E154" s="9"/>
      <c r="F154" s="9"/>
      <c r="G154" s="25"/>
      <c r="H154" s="9"/>
      <c r="I154" s="9">
        <f t="shared" si="44"/>
        <v>-1796.35</v>
      </c>
      <c r="J154" s="9"/>
      <c r="K154" s="9">
        <f t="shared" si="41"/>
        <v>0</v>
      </c>
      <c r="M154" s="3">
        <v>1820.31</v>
      </c>
      <c r="N154" s="3">
        <f t="shared" si="42"/>
        <v>-1820.31</v>
      </c>
      <c r="P154" s="9">
        <f t="shared" si="43"/>
        <v>23.960000000000036</v>
      </c>
    </row>
    <row r="155" spans="1:17" x14ac:dyDescent="0.25">
      <c r="A155" s="48" t="s">
        <v>77</v>
      </c>
      <c r="B155" s="9">
        <v>969.17</v>
      </c>
      <c r="C155" s="9"/>
      <c r="D155" s="9"/>
      <c r="E155" s="9"/>
      <c r="F155" s="9"/>
      <c r="G155" s="25"/>
      <c r="H155" s="9"/>
      <c r="I155" s="9">
        <f t="shared" si="44"/>
        <v>-969.17</v>
      </c>
      <c r="J155" s="9"/>
      <c r="K155" s="9">
        <f t="shared" si="41"/>
        <v>0</v>
      </c>
      <c r="M155" s="3">
        <v>909.17</v>
      </c>
      <c r="N155" s="3">
        <f t="shared" si="42"/>
        <v>-909.17</v>
      </c>
      <c r="P155" s="9">
        <f t="shared" si="43"/>
        <v>-60</v>
      </c>
    </row>
    <row r="156" spans="1:17" x14ac:dyDescent="0.25">
      <c r="A156" s="48" t="s">
        <v>78</v>
      </c>
      <c r="B156" s="9">
        <v>3531.99</v>
      </c>
      <c r="C156" s="9"/>
      <c r="D156" s="9"/>
      <c r="E156" s="9"/>
      <c r="F156" s="9"/>
      <c r="G156" s="25"/>
      <c r="H156" s="9"/>
      <c r="I156" s="9">
        <f t="shared" si="44"/>
        <v>-3531.99</v>
      </c>
      <c r="J156" s="9"/>
      <c r="K156" s="9">
        <f t="shared" si="41"/>
        <v>0</v>
      </c>
      <c r="M156" s="3">
        <v>3531.99</v>
      </c>
      <c r="N156" s="3">
        <f t="shared" si="42"/>
        <v>-3531.99</v>
      </c>
      <c r="P156" s="9">
        <f t="shared" si="43"/>
        <v>0</v>
      </c>
    </row>
    <row r="157" spans="1:17" x14ac:dyDescent="0.25">
      <c r="A157" s="48" t="s">
        <v>79</v>
      </c>
      <c r="B157" s="9">
        <v>2225</v>
      </c>
      <c r="C157" s="9"/>
      <c r="D157" s="9"/>
      <c r="E157" s="9"/>
      <c r="F157" s="9"/>
      <c r="G157" s="25"/>
      <c r="H157" s="9"/>
      <c r="I157" s="9">
        <f t="shared" si="44"/>
        <v>-2225</v>
      </c>
      <c r="J157" s="9"/>
      <c r="K157" s="9">
        <f t="shared" si="41"/>
        <v>0</v>
      </c>
      <c r="M157" s="3">
        <v>2198.75</v>
      </c>
      <c r="N157" s="3">
        <f t="shared" si="42"/>
        <v>-2198.75</v>
      </c>
      <c r="P157" s="9">
        <f t="shared" si="43"/>
        <v>-26.25</v>
      </c>
    </row>
    <row r="158" spans="1:17" x14ac:dyDescent="0.25">
      <c r="A158" s="48" t="s">
        <v>80</v>
      </c>
      <c r="B158" s="9">
        <v>3359.38</v>
      </c>
      <c r="C158" s="9"/>
      <c r="D158" s="9"/>
      <c r="E158" s="9"/>
      <c r="F158" s="9"/>
      <c r="G158" s="25"/>
      <c r="H158" s="9"/>
      <c r="I158" s="9">
        <f t="shared" si="44"/>
        <v>-3359.38</v>
      </c>
      <c r="J158" s="9"/>
      <c r="K158" s="9">
        <f t="shared" si="41"/>
        <v>0</v>
      </c>
      <c r="M158" s="3">
        <v>4220.63</v>
      </c>
      <c r="N158" s="3">
        <f t="shared" si="42"/>
        <v>-4220.63</v>
      </c>
      <c r="P158" s="9">
        <f t="shared" si="43"/>
        <v>861.25</v>
      </c>
    </row>
    <row r="159" spans="1:17" x14ac:dyDescent="0.25">
      <c r="A159" s="48" t="s">
        <v>81</v>
      </c>
      <c r="B159" s="9">
        <v>6690.73</v>
      </c>
      <c r="C159" s="9"/>
      <c r="D159" s="9"/>
      <c r="E159" s="9"/>
      <c r="F159" s="9"/>
      <c r="G159" s="25"/>
      <c r="H159" s="9"/>
      <c r="I159" s="9">
        <f t="shared" si="44"/>
        <v>-6690.73</v>
      </c>
      <c r="J159" s="9"/>
      <c r="K159" s="9">
        <f t="shared" si="41"/>
        <v>0</v>
      </c>
      <c r="M159" s="3">
        <v>6644.17</v>
      </c>
      <c r="N159" s="3">
        <f t="shared" si="42"/>
        <v>-6644.17</v>
      </c>
      <c r="P159" s="9">
        <f t="shared" si="43"/>
        <v>-46.559999999999491</v>
      </c>
    </row>
    <row r="160" spans="1:17" x14ac:dyDescent="0.25">
      <c r="A160" s="48" t="s">
        <v>82</v>
      </c>
      <c r="B160" s="9">
        <v>7966.57</v>
      </c>
      <c r="C160" s="9"/>
      <c r="D160" s="9"/>
      <c r="E160" s="9"/>
      <c r="F160" s="9"/>
      <c r="G160" s="25"/>
      <c r="H160" s="9"/>
      <c r="I160" s="9">
        <f t="shared" si="44"/>
        <v>-7966.57</v>
      </c>
      <c r="J160" s="9"/>
      <c r="K160" s="9">
        <f t="shared" si="41"/>
        <v>0</v>
      </c>
      <c r="M160" s="3">
        <v>8555.32</v>
      </c>
      <c r="N160" s="3">
        <f t="shared" si="42"/>
        <v>-8555.32</v>
      </c>
      <c r="P160" s="9">
        <f t="shared" si="43"/>
        <v>588.75</v>
      </c>
    </row>
    <row r="161" spans="1:16" x14ac:dyDescent="0.25">
      <c r="A161" s="48" t="s">
        <v>83</v>
      </c>
      <c r="B161" s="9">
        <v>1418.13</v>
      </c>
      <c r="C161" s="9"/>
      <c r="D161" s="9"/>
      <c r="E161" s="9"/>
      <c r="F161" s="9"/>
      <c r="G161" s="25"/>
      <c r="H161" s="9"/>
      <c r="I161" s="9">
        <f t="shared" si="44"/>
        <v>-1418.13</v>
      </c>
      <c r="J161" s="9"/>
      <c r="K161" s="9">
        <f t="shared" si="41"/>
        <v>0</v>
      </c>
      <c r="M161" s="3">
        <v>4356.3</v>
      </c>
      <c r="N161" s="3">
        <f t="shared" si="42"/>
        <v>-4356.3</v>
      </c>
      <c r="P161" s="9">
        <f t="shared" si="43"/>
        <v>2938.17</v>
      </c>
    </row>
    <row r="162" spans="1:16" x14ac:dyDescent="0.25">
      <c r="A162" s="48" t="s">
        <v>84</v>
      </c>
      <c r="B162" s="9">
        <v>523.33000000000004</v>
      </c>
      <c r="C162" s="9"/>
      <c r="D162" s="9"/>
      <c r="E162" s="9"/>
      <c r="F162" s="9"/>
      <c r="G162" s="25"/>
      <c r="H162" s="9"/>
      <c r="I162" s="9">
        <f t="shared" si="44"/>
        <v>-523.33000000000004</v>
      </c>
      <c r="J162" s="9"/>
      <c r="K162" s="9">
        <f t="shared" si="41"/>
        <v>0</v>
      </c>
      <c r="M162" s="3">
        <v>0</v>
      </c>
      <c r="N162" s="3">
        <f t="shared" si="42"/>
        <v>0</v>
      </c>
      <c r="P162" s="9">
        <f t="shared" si="43"/>
        <v>-523.33000000000004</v>
      </c>
    </row>
    <row r="163" spans="1:16" x14ac:dyDescent="0.25">
      <c r="A163" s="48" t="s">
        <v>85</v>
      </c>
      <c r="B163" s="9">
        <v>1435.73</v>
      </c>
      <c r="C163" s="9"/>
      <c r="D163" s="9"/>
      <c r="E163" s="9"/>
      <c r="F163" s="9"/>
      <c r="G163" s="25"/>
      <c r="H163" s="9"/>
      <c r="I163" s="9">
        <f t="shared" si="44"/>
        <v>-1435.73</v>
      </c>
      <c r="J163" s="9"/>
      <c r="K163" s="9">
        <f t="shared" si="41"/>
        <v>0</v>
      </c>
      <c r="M163" s="3">
        <v>0</v>
      </c>
      <c r="N163" s="3">
        <f t="shared" si="42"/>
        <v>0</v>
      </c>
      <c r="P163" s="9">
        <f t="shared" si="43"/>
        <v>-1435.73</v>
      </c>
    </row>
    <row r="164" spans="1:16" x14ac:dyDescent="0.25">
      <c r="A164" s="48" t="s">
        <v>86</v>
      </c>
      <c r="B164" s="9">
        <v>744.09</v>
      </c>
      <c r="C164" s="9"/>
      <c r="D164" s="9"/>
      <c r="E164" s="9"/>
      <c r="F164" s="9"/>
      <c r="G164" s="25"/>
      <c r="H164" s="9"/>
      <c r="I164" s="9">
        <f t="shared" si="44"/>
        <v>-744.09</v>
      </c>
      <c r="J164" s="9"/>
      <c r="K164" s="9">
        <f t="shared" si="41"/>
        <v>0</v>
      </c>
      <c r="M164" s="3">
        <v>0</v>
      </c>
      <c r="N164" s="3">
        <f t="shared" si="42"/>
        <v>0</v>
      </c>
      <c r="P164" s="9">
        <f t="shared" si="43"/>
        <v>-744.09</v>
      </c>
    </row>
    <row r="165" spans="1:16" x14ac:dyDescent="0.25">
      <c r="A165" s="48" t="s">
        <v>87</v>
      </c>
      <c r="B165" s="9">
        <v>633.09</v>
      </c>
      <c r="C165" s="9"/>
      <c r="D165" s="9"/>
      <c r="E165" s="9"/>
      <c r="F165" s="9"/>
      <c r="G165" s="25"/>
      <c r="H165" s="9"/>
      <c r="I165" s="9">
        <f t="shared" si="44"/>
        <v>-633.09</v>
      </c>
      <c r="J165" s="9"/>
      <c r="K165" s="9">
        <f t="shared" si="41"/>
        <v>0</v>
      </c>
      <c r="M165" s="3">
        <v>0</v>
      </c>
      <c r="N165" s="3">
        <f t="shared" si="42"/>
        <v>0</v>
      </c>
      <c r="P165" s="9">
        <f t="shared" si="43"/>
        <v>-633.09</v>
      </c>
    </row>
    <row r="166" spans="1:16" x14ac:dyDescent="0.25">
      <c r="A166" s="48" t="s">
        <v>124</v>
      </c>
      <c r="B166" s="9">
        <v>1272.0899999999999</v>
      </c>
      <c r="C166" s="9"/>
      <c r="D166" s="9"/>
      <c r="E166" s="9"/>
      <c r="F166" s="9"/>
      <c r="G166" s="25"/>
      <c r="H166" s="9"/>
      <c r="I166" s="9">
        <f t="shared" si="44"/>
        <v>-1272.0899999999999</v>
      </c>
      <c r="J166" s="9"/>
      <c r="K166" s="9">
        <f t="shared" si="41"/>
        <v>0</v>
      </c>
      <c r="M166" s="3"/>
      <c r="N166" s="3"/>
      <c r="P166" s="9">
        <f t="shared" si="43"/>
        <v>-1272.0899999999999</v>
      </c>
    </row>
    <row r="167" spans="1:16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P167" s="9">
        <f t="shared" si="43"/>
        <v>0</v>
      </c>
    </row>
    <row r="168" spans="1:16" ht="15.75" thickBot="1" x14ac:dyDescent="0.3">
      <c r="A168" t="s">
        <v>16</v>
      </c>
      <c r="B168" s="3"/>
      <c r="C168" s="8">
        <f t="shared" ref="C168:J168" si="45">SUM(C145:C165)</f>
        <v>0</v>
      </c>
      <c r="D168" s="8">
        <f t="shared" si="45"/>
        <v>0</v>
      </c>
      <c r="E168" s="8">
        <f t="shared" si="45"/>
        <v>0</v>
      </c>
      <c r="F168" s="8">
        <f t="shared" si="45"/>
        <v>0</v>
      </c>
      <c r="G168" s="8">
        <f t="shared" si="45"/>
        <v>0</v>
      </c>
      <c r="H168" s="8">
        <f t="shared" si="45"/>
        <v>0</v>
      </c>
      <c r="I168" s="8">
        <f>SUM(I145:I166)</f>
        <v>-45732.329999999994</v>
      </c>
      <c r="J168" s="8">
        <f t="shared" si="45"/>
        <v>0</v>
      </c>
      <c r="K168" s="8">
        <f>SUM(K145:K166)</f>
        <v>0</v>
      </c>
      <c r="M168" s="8">
        <f t="shared" ref="M168:N168" si="46">SUM(M145:M165)</f>
        <v>45506.15</v>
      </c>
      <c r="N168" s="8">
        <f t="shared" si="46"/>
        <v>-45506.15</v>
      </c>
    </row>
    <row r="169" spans="1:16" ht="15.75" thickTop="1" x14ac:dyDescent="0.25">
      <c r="B169" s="3"/>
      <c r="C169" s="11"/>
      <c r="D169" s="11"/>
      <c r="E169" s="11"/>
      <c r="F169" s="11"/>
      <c r="G169" s="11"/>
      <c r="H169" s="11"/>
      <c r="I169" s="11"/>
      <c r="J169" s="11"/>
      <c r="K169" s="11"/>
      <c r="M169" s="5"/>
    </row>
    <row r="170" spans="1:16" x14ac:dyDescent="0.25">
      <c r="B170" s="3"/>
      <c r="C170" s="11"/>
      <c r="D170" s="11"/>
      <c r="E170" s="11"/>
      <c r="F170" s="11"/>
      <c r="G170" s="11"/>
      <c r="H170" s="11"/>
      <c r="I170" s="11"/>
      <c r="J170" s="11"/>
      <c r="K170" s="11"/>
    </row>
  </sheetData>
  <sortState xmlns:xlrd2="http://schemas.microsoft.com/office/spreadsheetml/2017/richdata2" ref="A145:X165">
    <sortCondition descending="1" ref="A145:A165"/>
  </sortState>
  <phoneticPr fontId="12" type="noConversion"/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6A59F-4848-4A4B-8130-CAE8CD7CA2C4}">
  <sheetPr>
    <tabColor rgb="FF92D050"/>
  </sheetPr>
  <dimension ref="A2:X30"/>
  <sheetViews>
    <sheetView zoomScale="85" zoomScaleNormal="85" workbookViewId="0">
      <pane ySplit="3" topLeftCell="A4" activePane="bottomLeft" state="frozen"/>
      <selection activeCell="O26" sqref="O26:P26"/>
      <selection pane="bottomLeft" activeCell="N11" sqref="N11"/>
    </sheetView>
  </sheetViews>
  <sheetFormatPr defaultRowHeight="15" x14ac:dyDescent="0.25"/>
  <cols>
    <col min="1" max="1" width="13.85546875" customWidth="1"/>
    <col min="2" max="2" width="12.42578125" bestFit="1" customWidth="1"/>
    <col min="3" max="3" width="14.85546875" bestFit="1" customWidth="1"/>
    <col min="4" max="4" width="13" bestFit="1" customWidth="1"/>
    <col min="5" max="5" width="14.140625" bestFit="1" customWidth="1"/>
    <col min="6" max="6" width="10" bestFit="1" customWidth="1"/>
    <col min="7" max="7" width="12.85546875" bestFit="1" customWidth="1"/>
    <col min="8" max="8" width="11.42578125" bestFit="1" customWidth="1"/>
    <col min="9" max="9" width="13.85546875" bestFit="1" customWidth="1"/>
    <col min="10" max="10" width="9.28515625" bestFit="1" customWidth="1"/>
    <col min="11" max="11" width="15.7109375" customWidth="1"/>
    <col min="12" max="12" width="3" customWidth="1"/>
    <col min="13" max="13" width="15.7109375" customWidth="1"/>
    <col min="14" max="14" width="12.5703125" bestFit="1" customWidth="1"/>
    <col min="15" max="16" width="10.28515625" bestFit="1" customWidth="1"/>
    <col min="17" max="17" width="11.28515625" bestFit="1" customWidth="1"/>
    <col min="20" max="20" width="24.5703125" bestFit="1" customWidth="1"/>
  </cols>
  <sheetData>
    <row r="2" spans="1:24" x14ac:dyDescent="0.25">
      <c r="A2" s="12" t="s">
        <v>123</v>
      </c>
      <c r="M2" s="12"/>
    </row>
    <row r="3" spans="1:24" x14ac:dyDescent="0.25">
      <c r="A3" s="12"/>
    </row>
    <row r="4" spans="1:24" ht="18.75" x14ac:dyDescent="0.25">
      <c r="A4" s="23" t="s">
        <v>134</v>
      </c>
    </row>
    <row r="5" spans="1:24" x14ac:dyDescent="0.25">
      <c r="A5" s="33" t="s">
        <v>135</v>
      </c>
      <c r="M5" s="32" t="s">
        <v>133</v>
      </c>
    </row>
    <row r="6" spans="1:24" x14ac:dyDescent="0.25">
      <c r="C6" s="10" t="s">
        <v>19</v>
      </c>
      <c r="D6" s="10" t="s">
        <v>20</v>
      </c>
      <c r="E6" s="10" t="s">
        <v>19</v>
      </c>
      <c r="F6" s="10" t="s">
        <v>19</v>
      </c>
      <c r="G6" s="10" t="s">
        <v>20</v>
      </c>
      <c r="H6" s="10" t="s">
        <v>20</v>
      </c>
      <c r="I6" s="10" t="s">
        <v>21</v>
      </c>
      <c r="J6" s="10" t="s">
        <v>20</v>
      </c>
      <c r="K6" s="7" t="s">
        <v>10</v>
      </c>
      <c r="L6" s="7"/>
      <c r="M6" s="7" t="s">
        <v>9</v>
      </c>
    </row>
    <row r="7" spans="1:24" x14ac:dyDescent="0.25">
      <c r="B7" s="4" t="s">
        <v>1</v>
      </c>
      <c r="C7" s="6" t="s">
        <v>2</v>
      </c>
      <c r="D7" s="6" t="s">
        <v>3</v>
      </c>
      <c r="E7" s="6" t="s">
        <v>12</v>
      </c>
      <c r="F7" s="6" t="s">
        <v>4</v>
      </c>
      <c r="G7" s="6" t="s">
        <v>5</v>
      </c>
      <c r="H7" s="6" t="s">
        <v>13</v>
      </c>
      <c r="I7" s="6" t="s">
        <v>6</v>
      </c>
      <c r="J7" s="6" t="s">
        <v>7</v>
      </c>
      <c r="K7" s="6" t="s">
        <v>8</v>
      </c>
      <c r="L7" s="7"/>
      <c r="M7" s="6" t="s">
        <v>8</v>
      </c>
      <c r="N7" s="6" t="s">
        <v>14</v>
      </c>
    </row>
    <row r="8" spans="1:24" x14ac:dyDescent="0.25">
      <c r="A8" s="48" t="s">
        <v>132</v>
      </c>
      <c r="B8" s="9">
        <v>0</v>
      </c>
      <c r="C8" s="9"/>
      <c r="D8" s="9"/>
      <c r="E8" s="9"/>
      <c r="F8" s="9"/>
      <c r="G8" s="25"/>
      <c r="H8" s="9"/>
      <c r="I8" s="9"/>
      <c r="J8" s="9"/>
      <c r="K8" s="9">
        <f t="shared" ref="K8:K13" si="0">SUM(B8:J8)</f>
        <v>0</v>
      </c>
      <c r="M8" s="3"/>
      <c r="N8" s="3">
        <f t="shared" ref="N8:N13" si="1">+K8-M8</f>
        <v>0</v>
      </c>
    </row>
    <row r="9" spans="1:24" x14ac:dyDescent="0.25">
      <c r="A9" s="48" t="s">
        <v>131</v>
      </c>
      <c r="B9" s="9">
        <v>0</v>
      </c>
      <c r="C9" s="9">
        <v>599</v>
      </c>
      <c r="D9" s="9">
        <v>-544.88</v>
      </c>
      <c r="E9" s="9"/>
      <c r="F9" s="9">
        <v>20.05</v>
      </c>
      <c r="G9" s="25">
        <v>-44.17</v>
      </c>
      <c r="H9" s="9"/>
      <c r="I9" s="9"/>
      <c r="J9" s="9"/>
      <c r="K9" s="9">
        <f t="shared" si="0"/>
        <v>30</v>
      </c>
      <c r="M9" s="3">
        <v>0</v>
      </c>
      <c r="N9" s="3">
        <f t="shared" si="1"/>
        <v>30</v>
      </c>
      <c r="O9" t="s">
        <v>137</v>
      </c>
    </row>
    <row r="10" spans="1:24" x14ac:dyDescent="0.25">
      <c r="A10" s="48" t="s">
        <v>127</v>
      </c>
      <c r="B10" s="9">
        <v>128</v>
      </c>
      <c r="C10" s="9"/>
      <c r="D10" s="9"/>
      <c r="E10" s="9"/>
      <c r="F10" s="9"/>
      <c r="G10" s="25"/>
      <c r="H10" s="9"/>
      <c r="I10" s="9"/>
      <c r="J10" s="9"/>
      <c r="K10" s="9">
        <f t="shared" si="0"/>
        <v>128</v>
      </c>
      <c r="M10" s="3">
        <v>87.71</v>
      </c>
      <c r="N10" s="3">
        <f t="shared" si="1"/>
        <v>40.290000000000006</v>
      </c>
      <c r="O10" t="s">
        <v>55</v>
      </c>
    </row>
    <row r="11" spans="1:24" x14ac:dyDescent="0.25">
      <c r="A11" s="48" t="s">
        <v>128</v>
      </c>
      <c r="B11" s="9">
        <v>69.94</v>
      </c>
      <c r="C11" s="9"/>
      <c r="D11" s="9"/>
      <c r="E11" s="9"/>
      <c r="F11" s="9"/>
      <c r="G11" s="25"/>
      <c r="H11" s="9"/>
      <c r="I11" s="49">
        <v>0.06</v>
      </c>
      <c r="J11" s="9"/>
      <c r="K11" s="9">
        <f t="shared" si="0"/>
        <v>70</v>
      </c>
      <c r="M11" s="3">
        <v>69.94</v>
      </c>
      <c r="N11" s="3">
        <f t="shared" si="1"/>
        <v>6.0000000000002274E-2</v>
      </c>
      <c r="O11" t="s">
        <v>136</v>
      </c>
    </row>
    <row r="12" spans="1:24" x14ac:dyDescent="0.25">
      <c r="A12" s="48" t="s">
        <v>129</v>
      </c>
      <c r="B12" s="9">
        <v>15</v>
      </c>
      <c r="C12" s="9"/>
      <c r="D12" s="9"/>
      <c r="E12" s="9"/>
      <c r="F12" s="9"/>
      <c r="G12" s="25"/>
      <c r="H12" s="9"/>
      <c r="I12" s="9"/>
      <c r="J12" s="9"/>
      <c r="K12" s="9">
        <f t="shared" si="0"/>
        <v>15</v>
      </c>
      <c r="M12" s="3">
        <v>15</v>
      </c>
      <c r="N12" s="3">
        <f t="shared" si="1"/>
        <v>0</v>
      </c>
    </row>
    <row r="13" spans="1:24" x14ac:dyDescent="0.25">
      <c r="A13" s="48" t="s">
        <v>130</v>
      </c>
      <c r="B13" s="9">
        <v>0</v>
      </c>
      <c r="C13" s="9"/>
      <c r="D13" s="9"/>
      <c r="E13" s="9"/>
      <c r="F13" s="9"/>
      <c r="G13" s="25"/>
      <c r="H13" s="9"/>
      <c r="I13" s="9"/>
      <c r="J13" s="9"/>
      <c r="K13" s="9">
        <f t="shared" si="0"/>
        <v>0</v>
      </c>
      <c r="M13" s="3">
        <v>0</v>
      </c>
      <c r="N13" s="3">
        <f t="shared" si="1"/>
        <v>0</v>
      </c>
    </row>
    <row r="14" spans="1:24" x14ac:dyDescent="0.25">
      <c r="A14" s="48" t="s">
        <v>126</v>
      </c>
      <c r="B14" s="9">
        <v>0</v>
      </c>
      <c r="C14" s="9"/>
      <c r="D14" s="9"/>
      <c r="E14" s="9"/>
      <c r="F14" s="9"/>
      <c r="G14" s="25"/>
      <c r="H14" s="9"/>
      <c r="I14" s="9"/>
      <c r="J14" s="9"/>
      <c r="K14" s="9">
        <f t="shared" ref="K14" si="2">SUM(B14:J14)</f>
        <v>0</v>
      </c>
      <c r="M14" s="3">
        <v>0</v>
      </c>
      <c r="N14" s="3">
        <f t="shared" ref="N14" si="3">+K14-M14</f>
        <v>0</v>
      </c>
    </row>
    <row r="15" spans="1:24" s="3" customFormat="1" x14ac:dyDescent="0.25">
      <c r="A15" s="48" t="s">
        <v>67</v>
      </c>
      <c r="B15" s="9">
        <v>0</v>
      </c>
      <c r="C15" s="9"/>
      <c r="D15" s="9"/>
      <c r="E15" s="9"/>
      <c r="F15" s="9"/>
      <c r="G15" s="25"/>
      <c r="H15" s="9"/>
      <c r="I15" s="9"/>
      <c r="J15" s="9"/>
      <c r="K15" s="9">
        <f t="shared" ref="K15:K26" si="4">SUM(B15:J15)</f>
        <v>0</v>
      </c>
      <c r="L15"/>
      <c r="M15" s="3">
        <v>53</v>
      </c>
      <c r="N15" s="3">
        <f t="shared" ref="N15:N26" si="5">+K15-M15</f>
        <v>-53</v>
      </c>
      <c r="O15" t="s">
        <v>138</v>
      </c>
      <c r="P15"/>
      <c r="Q15"/>
      <c r="R15"/>
      <c r="S15"/>
      <c r="T15"/>
      <c r="U15"/>
      <c r="V15"/>
      <c r="W15"/>
      <c r="X15"/>
    </row>
    <row r="16" spans="1:24" s="3" customFormat="1" x14ac:dyDescent="0.25">
      <c r="A16" s="48" t="s">
        <v>68</v>
      </c>
      <c r="B16" s="9">
        <v>0</v>
      </c>
      <c r="C16" s="9"/>
      <c r="D16" s="9"/>
      <c r="E16" s="9"/>
      <c r="F16" s="9"/>
      <c r="G16" s="25"/>
      <c r="H16" s="9"/>
      <c r="I16" s="9"/>
      <c r="J16" s="9"/>
      <c r="K16" s="9">
        <f t="shared" si="4"/>
        <v>0</v>
      </c>
      <c r="L16"/>
      <c r="M16" s="3">
        <v>30</v>
      </c>
      <c r="N16" s="3">
        <f t="shared" si="5"/>
        <v>-30</v>
      </c>
      <c r="O16" t="s">
        <v>138</v>
      </c>
      <c r="P16"/>
      <c r="Q16"/>
      <c r="R16"/>
      <c r="S16"/>
      <c r="T16"/>
      <c r="U16"/>
      <c r="V16"/>
      <c r="W16"/>
      <c r="X16"/>
    </row>
    <row r="17" spans="1:24" s="3" customFormat="1" x14ac:dyDescent="0.25">
      <c r="A17" s="48" t="s">
        <v>73</v>
      </c>
      <c r="B17" s="9">
        <v>0</v>
      </c>
      <c r="C17" s="9"/>
      <c r="D17" s="9"/>
      <c r="E17" s="9"/>
      <c r="F17" s="9"/>
      <c r="G17" s="25"/>
      <c r="H17" s="9"/>
      <c r="I17" s="9"/>
      <c r="J17" s="9"/>
      <c r="K17" s="9">
        <f t="shared" si="4"/>
        <v>0</v>
      </c>
      <c r="L17"/>
      <c r="M17" s="3">
        <v>50</v>
      </c>
      <c r="N17" s="3">
        <f t="shared" si="5"/>
        <v>-50</v>
      </c>
      <c r="O17" t="s">
        <v>138</v>
      </c>
      <c r="P17"/>
      <c r="Q17"/>
      <c r="R17"/>
      <c r="S17"/>
      <c r="T17"/>
      <c r="U17"/>
      <c r="V17"/>
      <c r="W17"/>
      <c r="X17"/>
    </row>
    <row r="18" spans="1:24" s="3" customFormat="1" x14ac:dyDescent="0.25">
      <c r="A18" s="48" t="s">
        <v>74</v>
      </c>
      <c r="B18" s="9">
        <v>0</v>
      </c>
      <c r="C18" s="9"/>
      <c r="D18" s="9"/>
      <c r="E18" s="9"/>
      <c r="F18" s="9"/>
      <c r="G18" s="25"/>
      <c r="H18" s="9"/>
      <c r="I18" s="9"/>
      <c r="J18" s="9"/>
      <c r="K18" s="9">
        <f t="shared" si="4"/>
        <v>0</v>
      </c>
      <c r="L18"/>
      <c r="M18" s="3">
        <v>40</v>
      </c>
      <c r="N18" s="3">
        <f t="shared" si="5"/>
        <v>-40</v>
      </c>
      <c r="O18" t="s">
        <v>138</v>
      </c>
      <c r="P18"/>
      <c r="Q18"/>
      <c r="R18"/>
      <c r="S18"/>
      <c r="T18"/>
      <c r="U18"/>
      <c r="V18"/>
      <c r="W18"/>
      <c r="X18"/>
    </row>
    <row r="19" spans="1:24" s="3" customFormat="1" x14ac:dyDescent="0.25">
      <c r="A19" s="48" t="s">
        <v>75</v>
      </c>
      <c r="B19" s="9">
        <v>0</v>
      </c>
      <c r="C19" s="9"/>
      <c r="D19" s="9"/>
      <c r="E19" s="9"/>
      <c r="F19" s="9"/>
      <c r="G19" s="25"/>
      <c r="H19" s="9"/>
      <c r="I19" s="9"/>
      <c r="J19" s="9"/>
      <c r="K19" s="9">
        <f t="shared" si="4"/>
        <v>0</v>
      </c>
      <c r="L19"/>
      <c r="M19" s="3">
        <v>40</v>
      </c>
      <c r="N19" s="3">
        <f t="shared" si="5"/>
        <v>-40</v>
      </c>
      <c r="O19" t="s">
        <v>138</v>
      </c>
      <c r="P19"/>
      <c r="Q19"/>
      <c r="R19"/>
      <c r="S19"/>
      <c r="T19"/>
      <c r="U19"/>
      <c r="V19"/>
      <c r="W19"/>
      <c r="X19"/>
    </row>
    <row r="20" spans="1:24" s="3" customFormat="1" x14ac:dyDescent="0.25">
      <c r="A20" s="48" t="s">
        <v>76</v>
      </c>
      <c r="B20" s="9">
        <v>0</v>
      </c>
      <c r="C20" s="9"/>
      <c r="D20" s="9"/>
      <c r="E20" s="9"/>
      <c r="F20" s="9"/>
      <c r="G20" s="25"/>
      <c r="H20" s="9"/>
      <c r="I20" s="9"/>
      <c r="J20" s="9"/>
      <c r="K20" s="9">
        <f t="shared" si="4"/>
        <v>0</v>
      </c>
      <c r="L20"/>
      <c r="M20" s="3">
        <v>80</v>
      </c>
      <c r="N20" s="3">
        <f t="shared" si="5"/>
        <v>-80</v>
      </c>
      <c r="O20" t="s">
        <v>138</v>
      </c>
      <c r="P20"/>
      <c r="Q20"/>
      <c r="R20"/>
      <c r="S20"/>
      <c r="T20"/>
      <c r="U20"/>
      <c r="V20"/>
      <c r="W20"/>
      <c r="X20"/>
    </row>
    <row r="21" spans="1:24" s="3" customFormat="1" x14ac:dyDescent="0.25">
      <c r="A21" s="48" t="s">
        <v>77</v>
      </c>
      <c r="B21" s="9">
        <v>0</v>
      </c>
      <c r="C21" s="9"/>
      <c r="D21" s="9"/>
      <c r="E21" s="9"/>
      <c r="F21" s="9"/>
      <c r="G21" s="25"/>
      <c r="H21" s="9"/>
      <c r="I21" s="9"/>
      <c r="J21" s="9"/>
      <c r="K21" s="9">
        <f t="shared" si="4"/>
        <v>0</v>
      </c>
      <c r="L21"/>
      <c r="M21" s="3">
        <v>25</v>
      </c>
      <c r="N21" s="3">
        <f t="shared" si="5"/>
        <v>-25</v>
      </c>
      <c r="O21" t="s">
        <v>138</v>
      </c>
      <c r="P21"/>
      <c r="Q21"/>
      <c r="R21"/>
      <c r="S21"/>
      <c r="T21"/>
      <c r="U21"/>
      <c r="V21"/>
      <c r="W21"/>
      <c r="X21"/>
    </row>
    <row r="22" spans="1:24" s="3" customFormat="1" x14ac:dyDescent="0.25">
      <c r="A22" s="48" t="s">
        <v>78</v>
      </c>
      <c r="B22" s="9">
        <v>0</v>
      </c>
      <c r="C22" s="9"/>
      <c r="D22" s="9"/>
      <c r="E22" s="9"/>
      <c r="F22" s="9"/>
      <c r="G22" s="25"/>
      <c r="H22" s="9"/>
      <c r="I22" s="9"/>
      <c r="J22" s="9"/>
      <c r="K22" s="9">
        <f t="shared" si="4"/>
        <v>0</v>
      </c>
      <c r="L22"/>
      <c r="M22" s="3">
        <v>40</v>
      </c>
      <c r="N22" s="3">
        <f t="shared" si="5"/>
        <v>-40</v>
      </c>
      <c r="O22" t="s">
        <v>138</v>
      </c>
      <c r="P22"/>
      <c r="Q22"/>
      <c r="R22"/>
      <c r="S22"/>
      <c r="T22"/>
      <c r="U22"/>
      <c r="V22"/>
      <c r="W22"/>
      <c r="X22"/>
    </row>
    <row r="23" spans="1:24" s="3" customFormat="1" x14ac:dyDescent="0.25">
      <c r="A23" s="48" t="s">
        <v>86</v>
      </c>
      <c r="B23" s="9">
        <v>0</v>
      </c>
      <c r="C23" s="9"/>
      <c r="D23" s="9"/>
      <c r="E23" s="9"/>
      <c r="F23" s="9"/>
      <c r="G23" s="25"/>
      <c r="H23" s="9"/>
      <c r="I23" s="9"/>
      <c r="J23" s="9"/>
      <c r="K23" s="9">
        <f t="shared" si="4"/>
        <v>0</v>
      </c>
      <c r="L23"/>
      <c r="M23" s="3">
        <v>131</v>
      </c>
      <c r="N23" s="3">
        <f t="shared" si="5"/>
        <v>-131</v>
      </c>
      <c r="O23" t="s">
        <v>138</v>
      </c>
      <c r="P23"/>
      <c r="Q23"/>
      <c r="R23"/>
      <c r="S23"/>
      <c r="T23"/>
      <c r="U23"/>
      <c r="V23"/>
      <c r="W23"/>
      <c r="X23"/>
    </row>
    <row r="24" spans="1:24" s="3" customFormat="1" x14ac:dyDescent="0.25">
      <c r="A24" s="48" t="s">
        <v>87</v>
      </c>
      <c r="B24" s="9">
        <v>0</v>
      </c>
      <c r="C24" s="9"/>
      <c r="D24" s="9"/>
      <c r="E24" s="9"/>
      <c r="F24" s="9"/>
      <c r="G24" s="25"/>
      <c r="H24" s="9"/>
      <c r="I24" s="9"/>
      <c r="J24" s="9"/>
      <c r="K24" s="9">
        <f t="shared" si="4"/>
        <v>0</v>
      </c>
      <c r="L24"/>
      <c r="M24" s="3">
        <v>75</v>
      </c>
      <c r="N24" s="3">
        <f t="shared" si="5"/>
        <v>-75</v>
      </c>
      <c r="O24" t="s">
        <v>138</v>
      </c>
      <c r="P24"/>
      <c r="Q24"/>
      <c r="R24"/>
      <c r="S24"/>
      <c r="T24"/>
      <c r="U24"/>
      <c r="V24"/>
      <c r="W24"/>
      <c r="X24"/>
    </row>
    <row r="25" spans="1:24" x14ac:dyDescent="0.25">
      <c r="A25" s="48" t="s">
        <v>124</v>
      </c>
      <c r="B25" s="9">
        <v>0</v>
      </c>
      <c r="C25" s="9"/>
      <c r="D25" s="9"/>
      <c r="E25" s="9"/>
      <c r="F25" s="9"/>
      <c r="G25" s="25"/>
      <c r="H25" s="9"/>
      <c r="I25" s="9"/>
      <c r="J25" s="9"/>
      <c r="K25" s="9">
        <f t="shared" si="4"/>
        <v>0</v>
      </c>
      <c r="M25" s="3">
        <v>244</v>
      </c>
      <c r="N25" s="3">
        <f t="shared" si="5"/>
        <v>-244</v>
      </c>
      <c r="O25" t="s">
        <v>138</v>
      </c>
    </row>
    <row r="26" spans="1:24" x14ac:dyDescent="0.25">
      <c r="A26" s="48" t="s">
        <v>125</v>
      </c>
      <c r="B26" s="9">
        <v>0</v>
      </c>
      <c r="C26" s="9"/>
      <c r="D26" s="9"/>
      <c r="E26" s="9"/>
      <c r="F26" s="9"/>
      <c r="G26" s="25"/>
      <c r="H26" s="9"/>
      <c r="I26" s="9"/>
      <c r="J26" s="9"/>
      <c r="K26" s="9">
        <f t="shared" si="4"/>
        <v>0</v>
      </c>
      <c r="M26" s="3">
        <v>40.29</v>
      </c>
      <c r="N26" s="3">
        <f t="shared" si="5"/>
        <v>-40.29</v>
      </c>
      <c r="O26" t="s">
        <v>138</v>
      </c>
    </row>
    <row r="27" spans="1:24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24" ht="15.75" thickBot="1" x14ac:dyDescent="0.3">
      <c r="A28" t="s">
        <v>16</v>
      </c>
      <c r="B28" s="9"/>
      <c r="C28" s="18">
        <f>SUM(C8:C26)</f>
        <v>599</v>
      </c>
      <c r="D28" s="18">
        <f t="shared" ref="D28:K28" si="6">SUM(D8:D26)</f>
        <v>-544.88</v>
      </c>
      <c r="E28" s="18">
        <f t="shared" si="6"/>
        <v>0</v>
      </c>
      <c r="F28" s="18">
        <f t="shared" si="6"/>
        <v>20.05</v>
      </c>
      <c r="G28" s="18">
        <f t="shared" si="6"/>
        <v>-44.17</v>
      </c>
      <c r="H28" s="18">
        <f t="shared" si="6"/>
        <v>0</v>
      </c>
      <c r="I28" s="18">
        <f t="shared" si="6"/>
        <v>0.06</v>
      </c>
      <c r="J28" s="18">
        <f t="shared" si="6"/>
        <v>0</v>
      </c>
      <c r="K28" s="18">
        <f t="shared" si="6"/>
        <v>243</v>
      </c>
      <c r="M28" s="8">
        <f>SUM(M8:M26)</f>
        <v>1020.9399999999999</v>
      </c>
      <c r="N28" s="8">
        <f>SUM(N8:N26)</f>
        <v>-777.93999999999994</v>
      </c>
    </row>
    <row r="29" spans="1:24" ht="15.75" thickTop="1" x14ac:dyDescent="0.25">
      <c r="B29" s="9"/>
      <c r="C29" s="20"/>
      <c r="D29" s="20"/>
      <c r="E29" s="20"/>
      <c r="F29" s="20"/>
      <c r="G29" s="20"/>
      <c r="H29" s="20"/>
      <c r="I29" s="20"/>
      <c r="J29" s="20"/>
      <c r="K29" s="20"/>
    </row>
    <row r="30" spans="1:24" x14ac:dyDescent="0.25">
      <c r="B30" s="9"/>
      <c r="C30" s="20"/>
      <c r="D30" s="20"/>
      <c r="E30" s="20"/>
      <c r="F30" s="20"/>
      <c r="G30" s="20"/>
      <c r="H30" s="20"/>
      <c r="I30" s="20"/>
      <c r="J30" s="20"/>
      <c r="K30" s="20"/>
    </row>
  </sheetData>
  <sortState xmlns:xlrd2="http://schemas.microsoft.com/office/spreadsheetml/2017/richdata2" ref="A15:X26">
    <sortCondition descending="1" ref="A15:A26"/>
  </sortState>
  <phoneticPr fontId="12" type="noConversion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2:P59"/>
  <sheetViews>
    <sheetView zoomScale="88" zoomScaleNormal="100" workbookViewId="0">
      <pane ySplit="3" topLeftCell="A4" activePane="bottomLeft" state="frozen"/>
      <selection activeCell="O26" sqref="O26:P26"/>
      <selection pane="bottomLeft" activeCell="C18" sqref="C18"/>
    </sheetView>
  </sheetViews>
  <sheetFormatPr defaultRowHeight="15" x14ac:dyDescent="0.25"/>
  <cols>
    <col min="1" max="1" width="13.85546875" customWidth="1"/>
    <col min="2" max="2" width="13.85546875" bestFit="1" customWidth="1"/>
    <col min="3" max="3" width="18.85546875" bestFit="1" customWidth="1"/>
    <col min="4" max="4" width="16.28515625" customWidth="1"/>
    <col min="5" max="5" width="14.140625" bestFit="1" customWidth="1"/>
    <col min="6" max="6" width="10" bestFit="1" customWidth="1"/>
    <col min="7" max="7" width="12.85546875" bestFit="1" customWidth="1"/>
    <col min="8" max="8" width="14.42578125" bestFit="1" customWidth="1"/>
    <col min="9" max="9" width="13.85546875" bestFit="1" customWidth="1"/>
    <col min="10" max="10" width="10.7109375" bestFit="1" customWidth="1"/>
    <col min="11" max="11" width="16.7109375" bestFit="1" customWidth="1"/>
    <col min="12" max="12" width="3.28515625" customWidth="1"/>
    <col min="13" max="14" width="19.42578125" bestFit="1" customWidth="1"/>
    <col min="15" max="15" width="17" customWidth="1"/>
    <col min="16" max="16" width="14.140625" customWidth="1"/>
  </cols>
  <sheetData>
    <row r="2" spans="1:16" x14ac:dyDescent="0.25">
      <c r="A2" s="12" t="s">
        <v>7</v>
      </c>
      <c r="M2" s="12"/>
    </row>
    <row r="4" spans="1:16" ht="18.75" x14ac:dyDescent="0.25">
      <c r="A4" s="23" t="s">
        <v>135</v>
      </c>
    </row>
    <row r="5" spans="1:16" x14ac:dyDescent="0.25">
      <c r="A5" s="33" t="s">
        <v>7</v>
      </c>
      <c r="B5" s="5"/>
      <c r="I5" s="7"/>
      <c r="M5" s="32" t="s">
        <v>25</v>
      </c>
      <c r="O5" s="5"/>
    </row>
    <row r="6" spans="1:16" x14ac:dyDescent="0.25">
      <c r="B6" s="44"/>
      <c r="C6" s="10" t="s">
        <v>19</v>
      </c>
      <c r="D6" s="10" t="s">
        <v>20</v>
      </c>
      <c r="E6" s="10" t="s">
        <v>19</v>
      </c>
      <c r="F6" s="10" t="s">
        <v>19</v>
      </c>
      <c r="G6" s="10" t="s">
        <v>20</v>
      </c>
      <c r="H6" s="10" t="s">
        <v>20</v>
      </c>
      <c r="I6" s="10" t="s">
        <v>21</v>
      </c>
      <c r="J6" s="10" t="s">
        <v>20</v>
      </c>
      <c r="K6" s="7" t="s">
        <v>10</v>
      </c>
      <c r="L6" s="7"/>
      <c r="M6" s="7" t="s">
        <v>9</v>
      </c>
    </row>
    <row r="7" spans="1:16" x14ac:dyDescent="0.25">
      <c r="B7" s="4" t="s">
        <v>1</v>
      </c>
      <c r="C7" s="6" t="s">
        <v>39</v>
      </c>
      <c r="D7" s="6" t="s">
        <v>3</v>
      </c>
      <c r="E7" s="6" t="s">
        <v>12</v>
      </c>
      <c r="F7" s="6" t="s">
        <v>4</v>
      </c>
      <c r="G7" s="6" t="s">
        <v>37</v>
      </c>
      <c r="H7" s="6" t="s">
        <v>38</v>
      </c>
      <c r="I7" s="6" t="s">
        <v>6</v>
      </c>
      <c r="J7" s="6" t="s">
        <v>7</v>
      </c>
      <c r="K7" s="6" t="s">
        <v>8</v>
      </c>
      <c r="L7" s="7"/>
      <c r="M7" s="6" t="s">
        <v>8</v>
      </c>
      <c r="N7" s="6" t="s">
        <v>14</v>
      </c>
      <c r="O7" s="5"/>
    </row>
    <row r="8" spans="1:16" x14ac:dyDescent="0.25">
      <c r="A8" s="2">
        <v>44773</v>
      </c>
      <c r="B8" s="44">
        <v>139405.43</v>
      </c>
      <c r="C8" s="9"/>
      <c r="D8" s="9"/>
      <c r="E8" s="9"/>
      <c r="F8" s="9"/>
      <c r="G8" s="9"/>
      <c r="H8" s="9"/>
      <c r="I8" s="9"/>
      <c r="J8" s="9"/>
      <c r="K8" s="9">
        <f>SUM(B8:J8)</f>
        <v>139405.43</v>
      </c>
      <c r="M8" s="3">
        <v>139405.43</v>
      </c>
      <c r="N8" s="3">
        <f>+K8-M8</f>
        <v>0</v>
      </c>
      <c r="P8" s="5"/>
    </row>
    <row r="9" spans="1:16" x14ac:dyDescent="0.25">
      <c r="A9" s="2">
        <f>+A8+31</f>
        <v>44804</v>
      </c>
      <c r="B9" s="9">
        <f>+K8</f>
        <v>139405.43</v>
      </c>
      <c r="C9" s="9"/>
      <c r="D9" s="9"/>
      <c r="E9" s="9"/>
      <c r="F9" s="9"/>
      <c r="G9" s="9"/>
      <c r="H9" s="9"/>
      <c r="I9" s="9"/>
      <c r="K9" s="9">
        <f>SUM(B9:I9)</f>
        <v>139405.43</v>
      </c>
      <c r="M9" s="3">
        <v>139405.43</v>
      </c>
      <c r="N9" s="9">
        <f t="shared" ref="N9:N19" si="0">+K9-M9</f>
        <v>0</v>
      </c>
      <c r="P9" s="5"/>
    </row>
    <row r="10" spans="1:16" x14ac:dyDescent="0.25">
      <c r="A10" s="2">
        <f>+A9+30</f>
        <v>44834</v>
      </c>
      <c r="B10" s="9">
        <f t="shared" ref="B10:B19" si="1">+K9</f>
        <v>139405.43</v>
      </c>
      <c r="C10" s="9"/>
      <c r="D10" s="9"/>
      <c r="E10" s="9"/>
      <c r="F10" s="9"/>
      <c r="G10" s="9"/>
      <c r="H10" s="9"/>
      <c r="J10" s="9"/>
      <c r="K10" s="9">
        <f>SUM(B10:J10)</f>
        <v>139405.43</v>
      </c>
      <c r="M10" s="3">
        <v>139405.43</v>
      </c>
      <c r="N10" s="3">
        <f t="shared" si="0"/>
        <v>0</v>
      </c>
      <c r="P10" s="5"/>
    </row>
    <row r="11" spans="1:16" x14ac:dyDescent="0.25">
      <c r="A11" s="2">
        <f t="shared" ref="A11:A18" si="2">+A10+31</f>
        <v>44865</v>
      </c>
      <c r="B11" s="9">
        <f t="shared" si="1"/>
        <v>139405.43</v>
      </c>
      <c r="C11" s="9"/>
      <c r="D11" s="9"/>
      <c r="E11" s="9"/>
      <c r="F11" s="9"/>
      <c r="G11" s="9"/>
      <c r="H11" s="9"/>
      <c r="I11" s="9"/>
      <c r="K11" s="9">
        <f>SUM(B11:I11)</f>
        <v>139405.43</v>
      </c>
      <c r="M11" s="3">
        <v>139405.43</v>
      </c>
      <c r="N11" s="9">
        <f t="shared" si="0"/>
        <v>0</v>
      </c>
      <c r="P11" s="5"/>
    </row>
    <row r="12" spans="1:16" x14ac:dyDescent="0.25">
      <c r="A12" s="2">
        <f>+A11+30</f>
        <v>44895</v>
      </c>
      <c r="B12" s="9">
        <f t="shared" si="1"/>
        <v>139405.43</v>
      </c>
      <c r="C12" s="9"/>
      <c r="D12" s="9"/>
      <c r="E12" s="9"/>
      <c r="F12" s="9"/>
      <c r="G12" s="9"/>
      <c r="H12" s="9"/>
      <c r="I12" s="9"/>
      <c r="J12" s="9"/>
      <c r="K12" s="9">
        <f t="shared" ref="K12:K19" si="3">SUM(B12:J12)</f>
        <v>139405.43</v>
      </c>
      <c r="M12" s="3">
        <v>139405.43</v>
      </c>
      <c r="N12" s="9">
        <f t="shared" si="0"/>
        <v>0</v>
      </c>
      <c r="O12" s="5"/>
      <c r="P12" s="5"/>
    </row>
    <row r="13" spans="1:16" x14ac:dyDescent="0.25">
      <c r="A13" s="2">
        <f t="shared" si="2"/>
        <v>44926</v>
      </c>
      <c r="B13" s="9">
        <f t="shared" si="1"/>
        <v>139405.43</v>
      </c>
      <c r="C13" s="9"/>
      <c r="D13" s="9"/>
      <c r="E13" s="9"/>
      <c r="F13" s="9"/>
      <c r="G13" s="9"/>
      <c r="H13" s="9"/>
      <c r="I13" s="9"/>
      <c r="J13" s="9"/>
      <c r="K13" s="9">
        <f t="shared" si="3"/>
        <v>139405.43</v>
      </c>
      <c r="M13" s="3">
        <v>139405.43</v>
      </c>
      <c r="N13" s="3">
        <f t="shared" si="0"/>
        <v>0</v>
      </c>
      <c r="O13" s="5"/>
      <c r="P13" s="5"/>
    </row>
    <row r="14" spans="1:16" x14ac:dyDescent="0.25">
      <c r="A14" s="2">
        <f t="shared" si="2"/>
        <v>44957</v>
      </c>
      <c r="B14" s="9">
        <f t="shared" si="1"/>
        <v>139405.43</v>
      </c>
      <c r="C14" s="9"/>
      <c r="D14" s="9"/>
      <c r="E14" s="9"/>
      <c r="F14" s="9"/>
      <c r="G14" s="9"/>
      <c r="H14" s="9"/>
      <c r="I14" s="9"/>
      <c r="J14" s="9"/>
      <c r="K14" s="9">
        <f t="shared" si="3"/>
        <v>139405.43</v>
      </c>
      <c r="M14" s="3">
        <v>139405.43</v>
      </c>
      <c r="N14" s="3">
        <f t="shared" si="0"/>
        <v>0</v>
      </c>
      <c r="O14" s="5"/>
      <c r="P14" s="5"/>
    </row>
    <row r="15" spans="1:16" x14ac:dyDescent="0.25">
      <c r="A15" s="2">
        <f>+A14+28</f>
        <v>44985</v>
      </c>
      <c r="B15" s="9">
        <f t="shared" si="1"/>
        <v>139405.43</v>
      </c>
      <c r="C15" s="9"/>
      <c r="D15" s="9"/>
      <c r="E15" s="9"/>
      <c r="F15" s="9"/>
      <c r="G15" s="9"/>
      <c r="H15" s="9"/>
      <c r="I15" s="9"/>
      <c r="J15" s="9"/>
      <c r="K15" s="9">
        <f t="shared" si="3"/>
        <v>139405.43</v>
      </c>
      <c r="M15" s="3">
        <v>139405.43</v>
      </c>
      <c r="N15" s="3">
        <f t="shared" si="0"/>
        <v>0</v>
      </c>
      <c r="P15" s="5"/>
    </row>
    <row r="16" spans="1:16" x14ac:dyDescent="0.25">
      <c r="A16" s="2">
        <f t="shared" si="2"/>
        <v>45016</v>
      </c>
      <c r="B16" s="9">
        <f t="shared" si="1"/>
        <v>139405.43</v>
      </c>
      <c r="C16" s="9"/>
      <c r="D16" s="9"/>
      <c r="E16" s="9"/>
      <c r="F16" s="9"/>
      <c r="G16" s="9"/>
      <c r="H16" s="9"/>
      <c r="I16" s="9"/>
      <c r="J16" s="9"/>
      <c r="K16" s="9">
        <f t="shared" si="3"/>
        <v>139405.43</v>
      </c>
      <c r="M16" s="3">
        <v>139405.43</v>
      </c>
      <c r="N16" s="3">
        <f t="shared" si="0"/>
        <v>0</v>
      </c>
      <c r="O16" s="5"/>
      <c r="P16" s="5"/>
    </row>
    <row r="17" spans="1:16" x14ac:dyDescent="0.25">
      <c r="A17" s="2">
        <f>+A16+30</f>
        <v>45046</v>
      </c>
      <c r="B17" s="9">
        <f t="shared" si="1"/>
        <v>139405.43</v>
      </c>
      <c r="C17" s="9"/>
      <c r="D17" s="9"/>
      <c r="E17" s="9"/>
      <c r="F17" s="9"/>
      <c r="G17" s="9"/>
      <c r="H17" s="9"/>
      <c r="I17" s="9"/>
      <c r="J17" s="9"/>
      <c r="K17" s="9">
        <f t="shared" si="3"/>
        <v>139405.43</v>
      </c>
      <c r="M17" s="3">
        <v>139405.43</v>
      </c>
      <c r="N17" s="3">
        <f t="shared" si="0"/>
        <v>0</v>
      </c>
      <c r="O17" s="5"/>
      <c r="P17" s="5"/>
    </row>
    <row r="18" spans="1:16" x14ac:dyDescent="0.25">
      <c r="A18" s="2">
        <f t="shared" si="2"/>
        <v>45077</v>
      </c>
      <c r="B18" s="9">
        <f t="shared" si="1"/>
        <v>139405.43</v>
      </c>
      <c r="C18" s="9">
        <v>26892.240000000002</v>
      </c>
      <c r="D18" s="9"/>
      <c r="E18" s="9"/>
      <c r="F18" s="9"/>
      <c r="G18" s="9"/>
      <c r="H18" s="9"/>
      <c r="I18" s="9"/>
      <c r="J18" s="9"/>
      <c r="K18" s="9">
        <f t="shared" si="3"/>
        <v>166297.66999999998</v>
      </c>
      <c r="M18" s="3">
        <v>139405.43</v>
      </c>
      <c r="N18" s="3">
        <f t="shared" si="0"/>
        <v>26892.239999999991</v>
      </c>
      <c r="O18" s="5" t="s">
        <v>141</v>
      </c>
      <c r="P18" s="5"/>
    </row>
    <row r="19" spans="1:16" x14ac:dyDescent="0.25">
      <c r="A19" s="2">
        <f>+A18+30</f>
        <v>45107</v>
      </c>
      <c r="B19" s="9">
        <f t="shared" si="1"/>
        <v>166297.66999999998</v>
      </c>
      <c r="C19" s="9"/>
      <c r="D19" s="9"/>
      <c r="E19" s="9"/>
      <c r="F19" s="9"/>
      <c r="G19" s="9"/>
      <c r="H19" s="9"/>
      <c r="I19" s="9"/>
      <c r="J19" s="9"/>
      <c r="K19" s="3">
        <f t="shared" si="3"/>
        <v>166297.66999999998</v>
      </c>
      <c r="M19" s="3">
        <v>139405.43</v>
      </c>
      <c r="N19" s="16">
        <f t="shared" si="0"/>
        <v>26892.239999999991</v>
      </c>
      <c r="O19" s="5"/>
      <c r="P19" s="5"/>
    </row>
    <row r="20" spans="1:16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6" ht="15.75" thickBot="1" x14ac:dyDescent="0.3">
      <c r="A21" t="s">
        <v>16</v>
      </c>
      <c r="B21" s="8">
        <f>+B8</f>
        <v>139405.43</v>
      </c>
      <c r="C21" s="8">
        <f>SUM(C8:C19)</f>
        <v>26892.240000000002</v>
      </c>
      <c r="D21" s="8">
        <f t="shared" ref="D21:J21" si="4">SUM(D8:D19)</f>
        <v>0</v>
      </c>
      <c r="E21" s="8">
        <f t="shared" si="4"/>
        <v>0</v>
      </c>
      <c r="F21" s="8">
        <f t="shared" si="4"/>
        <v>0</v>
      </c>
      <c r="G21" s="8">
        <f t="shared" si="4"/>
        <v>0</v>
      </c>
      <c r="H21" s="8">
        <f t="shared" si="4"/>
        <v>0</v>
      </c>
      <c r="I21" s="8">
        <f t="shared" si="4"/>
        <v>0</v>
      </c>
      <c r="J21" s="8">
        <f t="shared" si="4"/>
        <v>0</v>
      </c>
      <c r="K21" s="8">
        <f>SUM(B21:J21)</f>
        <v>166297.66999999998</v>
      </c>
      <c r="M21" s="5"/>
      <c r="N21" s="3"/>
    </row>
    <row r="22" spans="1:16" ht="15.75" thickTop="1" x14ac:dyDescent="0.25">
      <c r="B22" s="11"/>
      <c r="C22" s="11"/>
      <c r="D22" s="11"/>
      <c r="E22" s="11"/>
      <c r="F22" s="11"/>
      <c r="G22" s="11"/>
      <c r="H22" s="11"/>
      <c r="I22" s="11"/>
      <c r="J22" s="11"/>
      <c r="K22" s="11"/>
      <c r="M22" s="26"/>
      <c r="N22" s="3"/>
    </row>
    <row r="23" spans="1:16" x14ac:dyDescent="0.25">
      <c r="B23" s="11"/>
      <c r="C23" s="11"/>
      <c r="D23" s="11"/>
      <c r="E23" s="11"/>
      <c r="F23" s="11"/>
      <c r="G23" s="11"/>
      <c r="H23" s="11"/>
      <c r="I23" s="11"/>
      <c r="J23" s="11"/>
      <c r="K23" s="11"/>
      <c r="M23" s="5"/>
      <c r="N23" s="3"/>
    </row>
    <row r="24" spans="1:16" ht="18.75" x14ac:dyDescent="0.25">
      <c r="A24" s="23" t="s">
        <v>135</v>
      </c>
      <c r="B24" s="5"/>
      <c r="K24" s="5"/>
    </row>
    <row r="25" spans="1:16" x14ac:dyDescent="0.25">
      <c r="A25" s="33" t="s">
        <v>139</v>
      </c>
      <c r="M25" s="32" t="s">
        <v>140</v>
      </c>
      <c r="N25" s="3"/>
    </row>
    <row r="26" spans="1:16" x14ac:dyDescent="0.25">
      <c r="C26" s="10" t="s">
        <v>19</v>
      </c>
      <c r="D26" s="10" t="s">
        <v>20</v>
      </c>
      <c r="E26" s="10" t="s">
        <v>19</v>
      </c>
      <c r="F26" s="10" t="s">
        <v>19</v>
      </c>
      <c r="G26" s="10" t="s">
        <v>20</v>
      </c>
      <c r="H26" s="10" t="s">
        <v>20</v>
      </c>
      <c r="I26" s="10" t="s">
        <v>21</v>
      </c>
      <c r="J26" s="10" t="s">
        <v>20</v>
      </c>
      <c r="K26" s="7" t="s">
        <v>10</v>
      </c>
      <c r="L26" s="7"/>
      <c r="M26" s="7" t="s">
        <v>9</v>
      </c>
    </row>
    <row r="27" spans="1:16" x14ac:dyDescent="0.25">
      <c r="B27" s="4" t="s">
        <v>1</v>
      </c>
      <c r="C27" s="6" t="s">
        <v>39</v>
      </c>
      <c r="D27" s="6" t="s">
        <v>3</v>
      </c>
      <c r="E27" s="6" t="s">
        <v>12</v>
      </c>
      <c r="F27" s="6" t="s">
        <v>4</v>
      </c>
      <c r="G27" s="6" t="s">
        <v>37</v>
      </c>
      <c r="H27" s="6" t="s">
        <v>38</v>
      </c>
      <c r="I27" s="6" t="s">
        <v>6</v>
      </c>
      <c r="J27" s="6" t="s">
        <v>7</v>
      </c>
      <c r="K27" s="6" t="s">
        <v>8</v>
      </c>
      <c r="L27" s="7"/>
      <c r="M27" s="6" t="s">
        <v>8</v>
      </c>
      <c r="N27" s="6" t="s">
        <v>14</v>
      </c>
    </row>
    <row r="28" spans="1:16" x14ac:dyDescent="0.25">
      <c r="A28" s="2">
        <v>44773</v>
      </c>
      <c r="B28" s="9">
        <v>154091.14000000001</v>
      </c>
      <c r="C28" s="9"/>
      <c r="D28" s="9"/>
      <c r="E28" s="9"/>
      <c r="F28" s="9"/>
      <c r="G28" s="9"/>
      <c r="H28" s="9"/>
      <c r="I28" s="9"/>
      <c r="J28" s="9"/>
      <c r="K28" s="3">
        <f>SUM(B28:J28)</f>
        <v>154091.14000000001</v>
      </c>
      <c r="M28" s="3">
        <v>154091.14000000001</v>
      </c>
      <c r="N28" s="3">
        <f>+K28-M28</f>
        <v>0</v>
      </c>
    </row>
    <row r="29" spans="1:16" x14ac:dyDescent="0.25">
      <c r="A29" s="2">
        <f>+A28+31</f>
        <v>44804</v>
      </c>
      <c r="B29" s="3">
        <f>+K28</f>
        <v>154091.14000000001</v>
      </c>
      <c r="C29" s="9"/>
      <c r="D29" s="9"/>
      <c r="E29" s="9"/>
      <c r="F29" s="9"/>
      <c r="G29" s="9"/>
      <c r="H29" s="9"/>
      <c r="I29" s="9"/>
      <c r="J29" s="9"/>
      <c r="K29" s="3">
        <f>SUM(B29:J29)</f>
        <v>154091.14000000001</v>
      </c>
      <c r="M29" s="3">
        <v>154091.14000000001</v>
      </c>
      <c r="N29" s="9">
        <f t="shared" ref="N29:N39" si="5">+K29-M29</f>
        <v>0</v>
      </c>
    </row>
    <row r="30" spans="1:16" x14ac:dyDescent="0.25">
      <c r="A30" s="2">
        <f>+A29+30</f>
        <v>44834</v>
      </c>
      <c r="B30" s="3">
        <f t="shared" ref="B30:B39" si="6">+K29</f>
        <v>154091.14000000001</v>
      </c>
      <c r="C30" s="9"/>
      <c r="D30" s="9"/>
      <c r="E30" s="9"/>
      <c r="F30" s="9"/>
      <c r="G30" s="9"/>
      <c r="H30" s="9"/>
      <c r="I30" s="9"/>
      <c r="J30" s="9"/>
      <c r="K30" s="3">
        <f t="shared" ref="K30:K39" si="7">SUM(B30:J30)</f>
        <v>154091.14000000001</v>
      </c>
      <c r="M30" s="3">
        <v>154091.14000000001</v>
      </c>
      <c r="N30" s="3">
        <f t="shared" si="5"/>
        <v>0</v>
      </c>
    </row>
    <row r="31" spans="1:16" x14ac:dyDescent="0.25">
      <c r="A31" s="2">
        <f t="shared" ref="A31:A38" si="8">+A30+31</f>
        <v>44865</v>
      </c>
      <c r="B31" s="3">
        <f t="shared" si="6"/>
        <v>154091.14000000001</v>
      </c>
      <c r="C31" s="9"/>
      <c r="D31" s="9"/>
      <c r="E31" s="9"/>
      <c r="F31" s="9"/>
      <c r="G31" s="9"/>
      <c r="H31" s="9"/>
      <c r="I31" s="9"/>
      <c r="J31" s="9"/>
      <c r="K31" s="3">
        <f t="shared" si="7"/>
        <v>154091.14000000001</v>
      </c>
      <c r="M31" s="3">
        <v>154091.14000000001</v>
      </c>
      <c r="N31" s="9">
        <f t="shared" si="5"/>
        <v>0</v>
      </c>
    </row>
    <row r="32" spans="1:16" x14ac:dyDescent="0.25">
      <c r="A32" s="2">
        <f>+A31+30</f>
        <v>44895</v>
      </c>
      <c r="B32" s="3">
        <f t="shared" si="6"/>
        <v>154091.14000000001</v>
      </c>
      <c r="C32" s="9"/>
      <c r="D32" s="9"/>
      <c r="E32" s="9"/>
      <c r="F32" s="9"/>
      <c r="G32" s="9"/>
      <c r="H32" s="9"/>
      <c r="I32" s="9"/>
      <c r="J32" s="9"/>
      <c r="K32" s="3">
        <f t="shared" si="7"/>
        <v>154091.14000000001</v>
      </c>
      <c r="M32" s="3">
        <v>154091.14000000001</v>
      </c>
      <c r="N32" s="9">
        <f t="shared" si="5"/>
        <v>0</v>
      </c>
    </row>
    <row r="33" spans="1:14" x14ac:dyDescent="0.25">
      <c r="A33" s="2">
        <f t="shared" si="8"/>
        <v>44926</v>
      </c>
      <c r="B33" s="3">
        <f t="shared" si="6"/>
        <v>154091.14000000001</v>
      </c>
      <c r="C33" s="9"/>
      <c r="D33" s="9"/>
      <c r="E33" s="9"/>
      <c r="F33" s="9"/>
      <c r="G33" s="9"/>
      <c r="H33" s="9"/>
      <c r="I33" s="9"/>
      <c r="J33" s="9"/>
      <c r="K33" s="3">
        <f t="shared" si="7"/>
        <v>154091.14000000001</v>
      </c>
      <c r="M33" s="3">
        <v>154091.14000000001</v>
      </c>
      <c r="N33" s="3">
        <f t="shared" si="5"/>
        <v>0</v>
      </c>
    </row>
    <row r="34" spans="1:14" x14ac:dyDescent="0.25">
      <c r="A34" s="2">
        <f t="shared" si="8"/>
        <v>44957</v>
      </c>
      <c r="B34" s="3">
        <f t="shared" si="6"/>
        <v>154091.14000000001</v>
      </c>
      <c r="C34" s="9"/>
      <c r="D34" s="9"/>
      <c r="E34" s="9"/>
      <c r="F34" s="9"/>
      <c r="G34" s="9"/>
      <c r="H34" s="9"/>
      <c r="I34" s="9"/>
      <c r="J34" s="9"/>
      <c r="K34" s="3">
        <f t="shared" si="7"/>
        <v>154091.14000000001</v>
      </c>
      <c r="M34" s="3">
        <v>154091.14000000001</v>
      </c>
      <c r="N34" s="3">
        <f t="shared" si="5"/>
        <v>0</v>
      </c>
    </row>
    <row r="35" spans="1:14" x14ac:dyDescent="0.25">
      <c r="A35" s="2">
        <f>+A34+28</f>
        <v>44985</v>
      </c>
      <c r="B35" s="3">
        <f t="shared" si="6"/>
        <v>154091.14000000001</v>
      </c>
      <c r="C35" s="9"/>
      <c r="D35" s="9"/>
      <c r="E35" s="9"/>
      <c r="F35" s="9"/>
      <c r="G35" s="9"/>
      <c r="H35" s="9"/>
      <c r="I35" s="9"/>
      <c r="J35" s="9"/>
      <c r="K35" s="3">
        <f t="shared" si="7"/>
        <v>154091.14000000001</v>
      </c>
      <c r="M35" s="3">
        <v>154091.14000000001</v>
      </c>
      <c r="N35" s="3">
        <f t="shared" si="5"/>
        <v>0</v>
      </c>
    </row>
    <row r="36" spans="1:14" x14ac:dyDescent="0.25">
      <c r="A36" s="2">
        <f t="shared" si="8"/>
        <v>45016</v>
      </c>
      <c r="B36" s="3">
        <f t="shared" si="6"/>
        <v>154091.14000000001</v>
      </c>
      <c r="C36" s="9"/>
      <c r="D36" s="9"/>
      <c r="E36" s="9"/>
      <c r="F36" s="9"/>
      <c r="G36" s="9"/>
      <c r="H36" s="9"/>
      <c r="I36" s="9"/>
      <c r="J36" s="9"/>
      <c r="K36" s="3">
        <f t="shared" si="7"/>
        <v>154091.14000000001</v>
      </c>
      <c r="M36" s="3">
        <v>154091.14000000001</v>
      </c>
      <c r="N36" s="3">
        <f t="shared" si="5"/>
        <v>0</v>
      </c>
    </row>
    <row r="37" spans="1:14" x14ac:dyDescent="0.25">
      <c r="A37" s="2">
        <f>+A36+30</f>
        <v>45046</v>
      </c>
      <c r="B37" s="3">
        <f t="shared" si="6"/>
        <v>154091.14000000001</v>
      </c>
      <c r="C37" s="9"/>
      <c r="D37" s="9"/>
      <c r="E37" s="9"/>
      <c r="F37" s="9"/>
      <c r="G37" s="9"/>
      <c r="H37" s="9"/>
      <c r="I37" s="9"/>
      <c r="J37" s="9"/>
      <c r="K37" s="3">
        <f t="shared" si="7"/>
        <v>154091.14000000001</v>
      </c>
      <c r="M37" s="3">
        <v>154091.14000000001</v>
      </c>
      <c r="N37" s="3">
        <f t="shared" si="5"/>
        <v>0</v>
      </c>
    </row>
    <row r="38" spans="1:14" x14ac:dyDescent="0.25">
      <c r="A38" s="2">
        <f t="shared" si="8"/>
        <v>45077</v>
      </c>
      <c r="B38" s="3">
        <f t="shared" si="6"/>
        <v>154091.14000000001</v>
      </c>
      <c r="C38" s="9"/>
      <c r="D38" s="9"/>
      <c r="E38" s="9"/>
      <c r="F38" s="9"/>
      <c r="G38" s="9"/>
      <c r="H38" s="9"/>
      <c r="I38" s="9"/>
      <c r="J38" s="9"/>
      <c r="K38" s="3">
        <f>SUM(B38:J38)</f>
        <v>154091.14000000001</v>
      </c>
      <c r="M38" s="3">
        <v>154091.14000000001</v>
      </c>
      <c r="N38" s="3">
        <f t="shared" si="5"/>
        <v>0</v>
      </c>
    </row>
    <row r="39" spans="1:14" x14ac:dyDescent="0.25">
      <c r="A39" s="2">
        <f>+A38+30</f>
        <v>45107</v>
      </c>
      <c r="B39" s="3">
        <f t="shared" si="6"/>
        <v>154091.14000000001</v>
      </c>
      <c r="C39" s="9"/>
      <c r="D39" s="9"/>
      <c r="E39" s="9"/>
      <c r="F39" s="9"/>
      <c r="G39" s="9"/>
      <c r="H39" s="9"/>
      <c r="I39" s="9"/>
      <c r="J39" s="9"/>
      <c r="K39" s="3">
        <f t="shared" si="7"/>
        <v>154091.14000000001</v>
      </c>
      <c r="M39" s="3">
        <v>154091.14000000001</v>
      </c>
      <c r="N39" s="16">
        <f t="shared" si="5"/>
        <v>0</v>
      </c>
    </row>
    <row r="40" spans="1:14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4" ht="15.75" thickBot="1" x14ac:dyDescent="0.3">
      <c r="A41" t="s">
        <v>16</v>
      </c>
      <c r="B41" s="8">
        <f>+B28</f>
        <v>154091.14000000001</v>
      </c>
      <c r="C41" s="8">
        <f>SUM(C28:C39)</f>
        <v>0</v>
      </c>
      <c r="D41" s="8">
        <f t="shared" ref="D41:J41" si="9">SUM(D28:D39)</f>
        <v>0</v>
      </c>
      <c r="E41" s="8">
        <f t="shared" si="9"/>
        <v>0</v>
      </c>
      <c r="F41" s="8">
        <f t="shared" si="9"/>
        <v>0</v>
      </c>
      <c r="G41" s="8">
        <f t="shared" si="9"/>
        <v>0</v>
      </c>
      <c r="H41" s="8">
        <f t="shared" si="9"/>
        <v>0</v>
      </c>
      <c r="I41" s="8">
        <f t="shared" si="9"/>
        <v>0</v>
      </c>
      <c r="J41" s="8">
        <f t="shared" si="9"/>
        <v>0</v>
      </c>
      <c r="K41" s="8">
        <f>SUM(B41:J41)</f>
        <v>154091.14000000001</v>
      </c>
    </row>
    <row r="42" spans="1:14" ht="15.75" thickTop="1" x14ac:dyDescent="0.25"/>
    <row r="59" spans="7:7" x14ac:dyDescent="0.25">
      <c r="G59" s="24"/>
    </row>
  </sheetData>
  <pageMargins left="0.7" right="0.7" top="0.75" bottom="0.75" header="0.3" footer="0.3"/>
  <pageSetup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Corrections COM ABT ADJ</vt:lpstr>
      <vt:lpstr>Corrections to make</vt:lpstr>
      <vt:lpstr>J108 to 118 corr</vt:lpstr>
      <vt:lpstr>PP</vt:lpstr>
      <vt:lpstr>RE </vt:lpstr>
      <vt:lpstr>RE SUPP TAX</vt:lpstr>
      <vt:lpstr>MVE</vt:lpstr>
      <vt:lpstr>Boat</vt:lpstr>
      <vt:lpstr>TT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Varney</dc:creator>
  <cp:lastModifiedBy>york37729</cp:lastModifiedBy>
  <cp:lastPrinted>2023-03-29T12:59:34Z</cp:lastPrinted>
  <dcterms:created xsi:type="dcterms:W3CDTF">2020-05-18T17:56:30Z</dcterms:created>
  <dcterms:modified xsi:type="dcterms:W3CDTF">2024-05-01T21:46:08Z</dcterms:modified>
</cp:coreProperties>
</file>